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</sheets>
  <externalReferences>
    <externalReference r:id="rId2"/>
  </externalReferences>
  <definedNames>
    <definedName name="_xlnm.Print_Titles" localSheetId="0">Sheet1!$5:$7</definedName>
  </definedNames>
  <calcPr calcId="145621"/>
</workbook>
</file>

<file path=xl/calcChain.xml><?xml version="1.0" encoding="utf-8"?>
<calcChain xmlns="http://schemas.openxmlformats.org/spreadsheetml/2006/main">
  <c r="O511" i="1" l="1"/>
  <c r="L511" i="1"/>
  <c r="I511" i="1"/>
  <c r="F511" i="1"/>
  <c r="F508" i="1" s="1"/>
  <c r="O510" i="1"/>
  <c r="L510" i="1"/>
  <c r="I510" i="1"/>
  <c r="F510" i="1"/>
  <c r="O509" i="1"/>
  <c r="L509" i="1"/>
  <c r="I509" i="1"/>
  <c r="F509" i="1"/>
  <c r="O508" i="1"/>
  <c r="L508" i="1"/>
  <c r="I508" i="1"/>
  <c r="C508" i="1"/>
  <c r="O506" i="1"/>
  <c r="L506" i="1"/>
  <c r="I506" i="1"/>
  <c r="F506" i="1"/>
  <c r="O505" i="1"/>
  <c r="L505" i="1"/>
  <c r="I505" i="1"/>
  <c r="F505" i="1"/>
  <c r="O504" i="1"/>
  <c r="L504" i="1"/>
  <c r="I504" i="1"/>
  <c r="I503" i="1" s="1"/>
  <c r="F504" i="1"/>
  <c r="O503" i="1"/>
  <c r="L503" i="1"/>
  <c r="F503" i="1"/>
  <c r="C503" i="1"/>
  <c r="O501" i="1"/>
  <c r="L501" i="1"/>
  <c r="I501" i="1"/>
  <c r="F501" i="1"/>
  <c r="O500" i="1"/>
  <c r="L500" i="1"/>
  <c r="I500" i="1"/>
  <c r="F500" i="1"/>
  <c r="O499" i="1"/>
  <c r="L499" i="1"/>
  <c r="L498" i="1" s="1"/>
  <c r="I499" i="1"/>
  <c r="F499" i="1"/>
  <c r="O498" i="1"/>
  <c r="I498" i="1"/>
  <c r="F498" i="1"/>
  <c r="C498" i="1"/>
  <c r="O496" i="1"/>
  <c r="L496" i="1"/>
  <c r="I496" i="1"/>
  <c r="F496" i="1"/>
  <c r="O495" i="1"/>
  <c r="L495" i="1"/>
  <c r="I495" i="1"/>
  <c r="F495" i="1"/>
  <c r="O494" i="1"/>
  <c r="O493" i="1" s="1"/>
  <c r="O488" i="1" s="1"/>
  <c r="L494" i="1"/>
  <c r="I494" i="1"/>
  <c r="F494" i="1"/>
  <c r="L493" i="1"/>
  <c r="L488" i="1" s="1"/>
  <c r="I493" i="1"/>
  <c r="F493" i="1"/>
  <c r="C493" i="1"/>
  <c r="O491" i="1"/>
  <c r="L491" i="1"/>
  <c r="I491" i="1"/>
  <c r="F491" i="1"/>
  <c r="O490" i="1"/>
  <c r="L490" i="1"/>
  <c r="I490" i="1"/>
  <c r="F490" i="1"/>
  <c r="O489" i="1"/>
  <c r="L489" i="1"/>
  <c r="I489" i="1"/>
  <c r="F489" i="1"/>
  <c r="F488" i="1" s="1"/>
  <c r="I488" i="1"/>
  <c r="C488" i="1"/>
  <c r="O486" i="1"/>
  <c r="L486" i="1"/>
  <c r="I486" i="1"/>
  <c r="F486" i="1"/>
  <c r="O485" i="1"/>
  <c r="L485" i="1"/>
  <c r="I485" i="1"/>
  <c r="I483" i="1" s="1"/>
  <c r="F485" i="1"/>
  <c r="O484" i="1"/>
  <c r="L484" i="1"/>
  <c r="I484" i="1"/>
  <c r="F484" i="1"/>
  <c r="O483" i="1"/>
  <c r="L483" i="1"/>
  <c r="F483" i="1"/>
  <c r="C483" i="1"/>
  <c r="O481" i="1"/>
  <c r="L481" i="1"/>
  <c r="I481" i="1"/>
  <c r="F481" i="1"/>
  <c r="O480" i="1"/>
  <c r="L480" i="1"/>
  <c r="L478" i="1" s="1"/>
  <c r="I480" i="1"/>
  <c r="F480" i="1"/>
  <c r="O479" i="1"/>
  <c r="L479" i="1"/>
  <c r="I479" i="1"/>
  <c r="F479" i="1"/>
  <c r="O478" i="1"/>
  <c r="I478" i="1"/>
  <c r="F478" i="1"/>
  <c r="C478" i="1"/>
  <c r="O476" i="1"/>
  <c r="L476" i="1"/>
  <c r="I476" i="1"/>
  <c r="F476" i="1"/>
  <c r="O475" i="1"/>
  <c r="L475" i="1"/>
  <c r="I475" i="1"/>
  <c r="F475" i="1"/>
  <c r="O474" i="1"/>
  <c r="L474" i="1"/>
  <c r="I474" i="1"/>
  <c r="F474" i="1"/>
  <c r="O473" i="1"/>
  <c r="L473" i="1"/>
  <c r="I473" i="1"/>
  <c r="F473" i="1"/>
  <c r="C473" i="1"/>
  <c r="O471" i="1"/>
  <c r="L471" i="1"/>
  <c r="I471" i="1"/>
  <c r="F471" i="1"/>
  <c r="O470" i="1"/>
  <c r="L470" i="1"/>
  <c r="I470" i="1"/>
  <c r="F470" i="1"/>
  <c r="O469" i="1"/>
  <c r="L469" i="1"/>
  <c r="I469" i="1"/>
  <c r="F469" i="1"/>
  <c r="F468" i="1" s="1"/>
  <c r="O468" i="1"/>
  <c r="L468" i="1"/>
  <c r="I468" i="1"/>
  <c r="C468" i="1"/>
  <c r="O466" i="1"/>
  <c r="L466" i="1"/>
  <c r="I466" i="1"/>
  <c r="F466" i="1"/>
  <c r="O465" i="1"/>
  <c r="L465" i="1"/>
  <c r="I465" i="1"/>
  <c r="F465" i="1"/>
  <c r="O464" i="1"/>
  <c r="L464" i="1"/>
  <c r="I464" i="1"/>
  <c r="I463" i="1" s="1"/>
  <c r="F464" i="1"/>
  <c r="O463" i="1"/>
  <c r="L463" i="1"/>
  <c r="F463" i="1"/>
  <c r="C463" i="1"/>
  <c r="O461" i="1"/>
  <c r="L461" i="1"/>
  <c r="I461" i="1"/>
  <c r="F461" i="1"/>
  <c r="O460" i="1"/>
  <c r="L460" i="1"/>
  <c r="I460" i="1"/>
  <c r="F460" i="1"/>
  <c r="O459" i="1"/>
  <c r="L459" i="1"/>
  <c r="L458" i="1" s="1"/>
  <c r="I459" i="1"/>
  <c r="F459" i="1"/>
  <c r="O458" i="1"/>
  <c r="I458" i="1"/>
  <c r="F458" i="1"/>
  <c r="C458" i="1"/>
  <c r="O456" i="1"/>
  <c r="L456" i="1"/>
  <c r="I456" i="1"/>
  <c r="F456" i="1"/>
  <c r="O455" i="1"/>
  <c r="L455" i="1"/>
  <c r="I455" i="1"/>
  <c r="F455" i="1"/>
  <c r="O454" i="1"/>
  <c r="O453" i="1" s="1"/>
  <c r="L454" i="1"/>
  <c r="I454" i="1"/>
  <c r="F454" i="1"/>
  <c r="L453" i="1"/>
  <c r="I453" i="1"/>
  <c r="F453" i="1"/>
  <c r="C453" i="1"/>
  <c r="O451" i="1"/>
  <c r="L451" i="1"/>
  <c r="I451" i="1"/>
  <c r="F451" i="1"/>
  <c r="O450" i="1"/>
  <c r="L450" i="1"/>
  <c r="I450" i="1"/>
  <c r="F450" i="1"/>
  <c r="O449" i="1"/>
  <c r="L449" i="1"/>
  <c r="I449" i="1"/>
  <c r="F449" i="1"/>
  <c r="F448" i="1" s="1"/>
  <c r="O448" i="1"/>
  <c r="L448" i="1"/>
  <c r="I448" i="1"/>
  <c r="C448" i="1"/>
  <c r="O446" i="1"/>
  <c r="L446" i="1"/>
  <c r="I446" i="1"/>
  <c r="F446" i="1"/>
  <c r="O445" i="1"/>
  <c r="L445" i="1"/>
  <c r="I445" i="1"/>
  <c r="F445" i="1"/>
  <c r="O444" i="1"/>
  <c r="L444" i="1"/>
  <c r="I444" i="1"/>
  <c r="I443" i="1" s="1"/>
  <c r="F444" i="1"/>
  <c r="O443" i="1"/>
  <c r="L443" i="1"/>
  <c r="F443" i="1"/>
  <c r="C443" i="1"/>
  <c r="O441" i="1"/>
  <c r="L441" i="1"/>
  <c r="I441" i="1"/>
  <c r="F441" i="1"/>
  <c r="O440" i="1"/>
  <c r="L440" i="1"/>
  <c r="I440" i="1"/>
  <c r="F440" i="1"/>
  <c r="O439" i="1"/>
  <c r="L439" i="1"/>
  <c r="L438" i="1" s="1"/>
  <c r="I439" i="1"/>
  <c r="F439" i="1"/>
  <c r="O438" i="1"/>
  <c r="I438" i="1"/>
  <c r="F438" i="1"/>
  <c r="C438" i="1"/>
  <c r="O436" i="1"/>
  <c r="L436" i="1"/>
  <c r="I436" i="1"/>
  <c r="F436" i="1"/>
  <c r="O435" i="1"/>
  <c r="L435" i="1"/>
  <c r="I435" i="1"/>
  <c r="F435" i="1"/>
  <c r="O434" i="1"/>
  <c r="O433" i="1" s="1"/>
  <c r="L434" i="1"/>
  <c r="I434" i="1"/>
  <c r="F434" i="1"/>
  <c r="L433" i="1"/>
  <c r="I433" i="1"/>
  <c r="F433" i="1"/>
  <c r="C433" i="1"/>
  <c r="O431" i="1"/>
  <c r="L431" i="1"/>
  <c r="I431" i="1"/>
  <c r="F431" i="1"/>
  <c r="O430" i="1"/>
  <c r="L430" i="1"/>
  <c r="I430" i="1"/>
  <c r="F430" i="1"/>
  <c r="O429" i="1"/>
  <c r="L429" i="1"/>
  <c r="I429" i="1"/>
  <c r="F429" i="1"/>
  <c r="F428" i="1" s="1"/>
  <c r="O428" i="1"/>
  <c r="L428" i="1"/>
  <c r="I428" i="1"/>
  <c r="C428" i="1"/>
  <c r="O426" i="1"/>
  <c r="L426" i="1"/>
  <c r="I426" i="1"/>
  <c r="F426" i="1"/>
  <c r="O425" i="1"/>
  <c r="L425" i="1"/>
  <c r="I425" i="1"/>
  <c r="F425" i="1"/>
  <c r="O424" i="1"/>
  <c r="L424" i="1"/>
  <c r="I424" i="1"/>
  <c r="I423" i="1" s="1"/>
  <c r="F424" i="1"/>
  <c r="O423" i="1"/>
  <c r="L423" i="1"/>
  <c r="F423" i="1"/>
  <c r="C423" i="1"/>
  <c r="O421" i="1"/>
  <c r="L421" i="1"/>
  <c r="I421" i="1"/>
  <c r="F421" i="1"/>
  <c r="O420" i="1"/>
  <c r="L420" i="1"/>
  <c r="I420" i="1"/>
  <c r="F420" i="1"/>
  <c r="O419" i="1"/>
  <c r="L419" i="1"/>
  <c r="L418" i="1" s="1"/>
  <c r="I419" i="1"/>
  <c r="F419" i="1"/>
  <c r="O418" i="1"/>
  <c r="I418" i="1"/>
  <c r="F418" i="1"/>
  <c r="C418" i="1"/>
  <c r="O416" i="1"/>
  <c r="L416" i="1"/>
  <c r="I416" i="1"/>
  <c r="F416" i="1"/>
  <c r="O415" i="1"/>
  <c r="L415" i="1"/>
  <c r="I415" i="1"/>
  <c r="F415" i="1"/>
  <c r="O414" i="1"/>
  <c r="O413" i="1" s="1"/>
  <c r="L414" i="1"/>
  <c r="I414" i="1"/>
  <c r="F414" i="1"/>
  <c r="L413" i="1"/>
  <c r="I413" i="1"/>
  <c r="F413" i="1"/>
  <c r="C413" i="1"/>
  <c r="O411" i="1"/>
  <c r="L411" i="1"/>
  <c r="I411" i="1"/>
  <c r="F411" i="1"/>
  <c r="O410" i="1"/>
  <c r="L410" i="1"/>
  <c r="I410" i="1"/>
  <c r="F410" i="1"/>
  <c r="O409" i="1"/>
  <c r="L409" i="1"/>
  <c r="I409" i="1"/>
  <c r="F409" i="1"/>
  <c r="F408" i="1" s="1"/>
  <c r="O408" i="1"/>
  <c r="L408" i="1"/>
  <c r="I408" i="1"/>
  <c r="C408" i="1"/>
  <c r="O406" i="1"/>
  <c r="L406" i="1"/>
  <c r="I406" i="1"/>
  <c r="F406" i="1"/>
  <c r="O405" i="1"/>
  <c r="L405" i="1"/>
  <c r="I405" i="1"/>
  <c r="F405" i="1"/>
  <c r="O404" i="1"/>
  <c r="L404" i="1"/>
  <c r="I404" i="1"/>
  <c r="I403" i="1" s="1"/>
  <c r="F404" i="1"/>
  <c r="O403" i="1"/>
  <c r="L403" i="1"/>
  <c r="F403" i="1"/>
  <c r="C403" i="1"/>
  <c r="O401" i="1"/>
  <c r="L401" i="1"/>
  <c r="I401" i="1"/>
  <c r="F401" i="1"/>
  <c r="O400" i="1"/>
  <c r="L400" i="1"/>
  <c r="L398" i="1" s="1"/>
  <c r="I400" i="1"/>
  <c r="F400" i="1"/>
  <c r="O399" i="1"/>
  <c r="L399" i="1"/>
  <c r="I399" i="1"/>
  <c r="F399" i="1"/>
  <c r="O398" i="1"/>
  <c r="I398" i="1"/>
  <c r="F398" i="1"/>
  <c r="C398" i="1"/>
  <c r="O396" i="1"/>
  <c r="L396" i="1"/>
  <c r="I396" i="1"/>
  <c r="F396" i="1"/>
  <c r="O395" i="1"/>
  <c r="O393" i="1" s="1"/>
  <c r="L395" i="1"/>
  <c r="I395" i="1"/>
  <c r="F395" i="1"/>
  <c r="O394" i="1"/>
  <c r="L394" i="1"/>
  <c r="I394" i="1"/>
  <c r="F394" i="1"/>
  <c r="L393" i="1"/>
  <c r="I393" i="1"/>
  <c r="F393" i="1"/>
  <c r="C393" i="1"/>
  <c r="O391" i="1"/>
  <c r="L391" i="1"/>
  <c r="I391" i="1"/>
  <c r="F391" i="1"/>
  <c r="O390" i="1"/>
  <c r="L390" i="1"/>
  <c r="I390" i="1"/>
  <c r="F390" i="1"/>
  <c r="O389" i="1"/>
  <c r="L389" i="1"/>
  <c r="I389" i="1"/>
  <c r="F389" i="1"/>
  <c r="F388" i="1" s="1"/>
  <c r="O388" i="1"/>
  <c r="L388" i="1"/>
  <c r="I388" i="1"/>
  <c r="C388" i="1"/>
  <c r="O386" i="1"/>
  <c r="L386" i="1"/>
  <c r="I386" i="1"/>
  <c r="F386" i="1"/>
  <c r="O385" i="1"/>
  <c r="L385" i="1"/>
  <c r="I385" i="1"/>
  <c r="F385" i="1"/>
  <c r="O384" i="1"/>
  <c r="L384" i="1"/>
  <c r="I384" i="1"/>
  <c r="I383" i="1" s="1"/>
  <c r="F384" i="1"/>
  <c r="O383" i="1"/>
  <c r="L383" i="1"/>
  <c r="F383" i="1"/>
  <c r="C383" i="1"/>
  <c r="O381" i="1"/>
  <c r="L381" i="1"/>
  <c r="I381" i="1"/>
  <c r="F381" i="1"/>
  <c r="O380" i="1"/>
  <c r="L380" i="1"/>
  <c r="I380" i="1"/>
  <c r="F380" i="1"/>
  <c r="O379" i="1"/>
  <c r="L379" i="1"/>
  <c r="L378" i="1" s="1"/>
  <c r="I379" i="1"/>
  <c r="F379" i="1"/>
  <c r="O378" i="1"/>
  <c r="I378" i="1"/>
  <c r="F378" i="1"/>
  <c r="C378" i="1"/>
  <c r="O376" i="1"/>
  <c r="L376" i="1"/>
  <c r="I376" i="1"/>
  <c r="F376" i="1"/>
  <c r="O375" i="1"/>
  <c r="O373" i="1" s="1"/>
  <c r="O368" i="1" s="1"/>
  <c r="L375" i="1"/>
  <c r="I375" i="1"/>
  <c r="F375" i="1"/>
  <c r="O374" i="1"/>
  <c r="L374" i="1"/>
  <c r="I374" i="1"/>
  <c r="F374" i="1"/>
  <c r="L373" i="1"/>
  <c r="L368" i="1" s="1"/>
  <c r="I373" i="1"/>
  <c r="F373" i="1"/>
  <c r="C373" i="1"/>
  <c r="O371" i="1"/>
  <c r="L371" i="1"/>
  <c r="I371" i="1"/>
  <c r="F371" i="1"/>
  <c r="O370" i="1"/>
  <c r="L370" i="1"/>
  <c r="I370" i="1"/>
  <c r="F370" i="1"/>
  <c r="O369" i="1"/>
  <c r="L369" i="1"/>
  <c r="I369" i="1"/>
  <c r="F369" i="1"/>
  <c r="F368" i="1" s="1"/>
  <c r="I368" i="1"/>
  <c r="C368" i="1"/>
  <c r="O366" i="1"/>
  <c r="L366" i="1"/>
  <c r="I366" i="1"/>
  <c r="F366" i="1"/>
  <c r="O365" i="1"/>
  <c r="L365" i="1"/>
  <c r="I365" i="1"/>
  <c r="F365" i="1"/>
  <c r="O364" i="1"/>
  <c r="L364" i="1"/>
  <c r="I364" i="1"/>
  <c r="I363" i="1" s="1"/>
  <c r="F364" i="1"/>
  <c r="O363" i="1"/>
  <c r="L363" i="1"/>
  <c r="F363" i="1"/>
  <c r="C363" i="1"/>
  <c r="O361" i="1"/>
  <c r="L361" i="1"/>
  <c r="I361" i="1"/>
  <c r="F361" i="1"/>
  <c r="O360" i="1"/>
  <c r="L360" i="1"/>
  <c r="I360" i="1"/>
  <c r="F360" i="1"/>
  <c r="O359" i="1"/>
  <c r="L359" i="1"/>
  <c r="L358" i="1" s="1"/>
  <c r="I359" i="1"/>
  <c r="F359" i="1"/>
  <c r="O358" i="1"/>
  <c r="I358" i="1"/>
  <c r="F358" i="1"/>
  <c r="C358" i="1"/>
  <c r="O356" i="1"/>
  <c r="L356" i="1"/>
  <c r="I356" i="1"/>
  <c r="F356" i="1"/>
  <c r="O355" i="1"/>
  <c r="L355" i="1"/>
  <c r="I355" i="1"/>
  <c r="F355" i="1"/>
  <c r="O354" i="1"/>
  <c r="O353" i="1" s="1"/>
  <c r="L354" i="1"/>
  <c r="I354" i="1"/>
  <c r="F354" i="1"/>
  <c r="L353" i="1"/>
  <c r="I353" i="1"/>
  <c r="F353" i="1"/>
  <c r="C353" i="1"/>
  <c r="O351" i="1"/>
  <c r="L351" i="1"/>
  <c r="I351" i="1"/>
  <c r="F351" i="1"/>
  <c r="O350" i="1"/>
  <c r="L350" i="1"/>
  <c r="I350" i="1"/>
  <c r="F350" i="1"/>
  <c r="O349" i="1"/>
  <c r="L349" i="1"/>
  <c r="I349" i="1"/>
  <c r="F349" i="1"/>
  <c r="F348" i="1" s="1"/>
  <c r="O348" i="1"/>
  <c r="L348" i="1"/>
  <c r="I348" i="1"/>
  <c r="C348" i="1"/>
  <c r="O346" i="1"/>
  <c r="L346" i="1"/>
  <c r="I346" i="1"/>
  <c r="F346" i="1"/>
  <c r="O345" i="1"/>
  <c r="L345" i="1"/>
  <c r="I345" i="1"/>
  <c r="F345" i="1"/>
  <c r="O344" i="1"/>
  <c r="L344" i="1"/>
  <c r="I344" i="1"/>
  <c r="I343" i="1" s="1"/>
  <c r="F344" i="1"/>
  <c r="O343" i="1"/>
  <c r="L343" i="1"/>
  <c r="F343" i="1"/>
  <c r="C343" i="1"/>
  <c r="O341" i="1"/>
  <c r="L341" i="1"/>
  <c r="I341" i="1"/>
  <c r="F341" i="1"/>
  <c r="O340" i="1"/>
  <c r="L340" i="1"/>
  <c r="I340" i="1"/>
  <c r="F340" i="1"/>
  <c r="O339" i="1"/>
  <c r="L339" i="1"/>
  <c r="L338" i="1" s="1"/>
  <c r="L333" i="1" s="1"/>
  <c r="I339" i="1"/>
  <c r="F339" i="1"/>
  <c r="O338" i="1"/>
  <c r="I338" i="1"/>
  <c r="F338" i="1"/>
  <c r="C338" i="1"/>
  <c r="O336" i="1"/>
  <c r="L336" i="1"/>
  <c r="I336" i="1"/>
  <c r="F336" i="1"/>
  <c r="O335" i="1"/>
  <c r="L335" i="1"/>
  <c r="I335" i="1"/>
  <c r="F335" i="1"/>
  <c r="O334" i="1"/>
  <c r="O333" i="1" s="1"/>
  <c r="L334" i="1"/>
  <c r="I334" i="1"/>
  <c r="F334" i="1"/>
  <c r="F333" i="1"/>
  <c r="C333" i="1"/>
  <c r="O331" i="1"/>
  <c r="L331" i="1"/>
  <c r="I331" i="1"/>
  <c r="F331" i="1"/>
  <c r="O330" i="1"/>
  <c r="L330" i="1"/>
  <c r="I330" i="1"/>
  <c r="F330" i="1"/>
  <c r="O329" i="1"/>
  <c r="L329" i="1"/>
  <c r="I329" i="1"/>
  <c r="F329" i="1"/>
  <c r="F328" i="1" s="1"/>
  <c r="O328" i="1"/>
  <c r="L328" i="1"/>
  <c r="I328" i="1"/>
  <c r="C328" i="1"/>
  <c r="O326" i="1"/>
  <c r="L326" i="1"/>
  <c r="I326" i="1"/>
  <c r="F326" i="1"/>
  <c r="O325" i="1"/>
  <c r="L325" i="1"/>
  <c r="I325" i="1"/>
  <c r="F325" i="1"/>
  <c r="O324" i="1"/>
  <c r="L324" i="1"/>
  <c r="I324" i="1"/>
  <c r="I323" i="1" s="1"/>
  <c r="F324" i="1"/>
  <c r="O323" i="1"/>
  <c r="L323" i="1"/>
  <c r="F323" i="1"/>
  <c r="C323" i="1"/>
  <c r="O321" i="1"/>
  <c r="L321" i="1"/>
  <c r="I321" i="1"/>
  <c r="F321" i="1"/>
  <c r="O320" i="1"/>
  <c r="L320" i="1"/>
  <c r="I320" i="1"/>
  <c r="F320" i="1"/>
  <c r="O319" i="1"/>
  <c r="L319" i="1"/>
  <c r="L318" i="1" s="1"/>
  <c r="I319" i="1"/>
  <c r="F319" i="1"/>
  <c r="O318" i="1"/>
  <c r="I318" i="1"/>
  <c r="F318" i="1"/>
  <c r="C318" i="1"/>
  <c r="O316" i="1"/>
  <c r="L316" i="1"/>
  <c r="I316" i="1"/>
  <c r="F316" i="1"/>
  <c r="O315" i="1"/>
  <c r="O313" i="1" s="1"/>
  <c r="L315" i="1"/>
  <c r="I315" i="1"/>
  <c r="F315" i="1"/>
  <c r="O314" i="1"/>
  <c r="L314" i="1"/>
  <c r="I314" i="1"/>
  <c r="F314" i="1"/>
  <c r="L313" i="1"/>
  <c r="I313" i="1"/>
  <c r="F313" i="1"/>
  <c r="C313" i="1"/>
  <c r="O311" i="1"/>
  <c r="L311" i="1"/>
  <c r="I311" i="1"/>
  <c r="F311" i="1"/>
  <c r="O310" i="1"/>
  <c r="L310" i="1"/>
  <c r="I310" i="1"/>
  <c r="F310" i="1"/>
  <c r="F308" i="1" s="1"/>
  <c r="F298" i="1" s="1"/>
  <c r="O309" i="1"/>
  <c r="L309" i="1"/>
  <c r="I309" i="1"/>
  <c r="F309" i="1"/>
  <c r="O308" i="1"/>
  <c r="L308" i="1"/>
  <c r="I308" i="1"/>
  <c r="C308" i="1"/>
  <c r="O306" i="1"/>
  <c r="L306" i="1"/>
  <c r="I306" i="1"/>
  <c r="F306" i="1"/>
  <c r="O305" i="1"/>
  <c r="L305" i="1"/>
  <c r="I305" i="1"/>
  <c r="F305" i="1"/>
  <c r="O304" i="1"/>
  <c r="L304" i="1"/>
  <c r="I304" i="1"/>
  <c r="I303" i="1" s="1"/>
  <c r="I298" i="1" s="1"/>
  <c r="F304" i="1"/>
  <c r="O303" i="1"/>
  <c r="L303" i="1"/>
  <c r="F303" i="1"/>
  <c r="C303" i="1"/>
  <c r="O301" i="1"/>
  <c r="L301" i="1"/>
  <c r="I301" i="1"/>
  <c r="F301" i="1"/>
  <c r="O300" i="1"/>
  <c r="L300" i="1"/>
  <c r="I300" i="1"/>
  <c r="F300" i="1"/>
  <c r="O299" i="1"/>
  <c r="L299" i="1"/>
  <c r="L298" i="1" s="1"/>
  <c r="I299" i="1"/>
  <c r="F299" i="1"/>
  <c r="O298" i="1"/>
  <c r="C298" i="1"/>
  <c r="O296" i="1"/>
  <c r="L296" i="1"/>
  <c r="I296" i="1"/>
  <c r="F296" i="1"/>
  <c r="O295" i="1"/>
  <c r="L295" i="1"/>
  <c r="I295" i="1"/>
  <c r="F295" i="1"/>
  <c r="O294" i="1"/>
  <c r="O293" i="1" s="1"/>
  <c r="L294" i="1"/>
  <c r="I294" i="1"/>
  <c r="F294" i="1"/>
  <c r="L293" i="1"/>
  <c r="I293" i="1"/>
  <c r="F293" i="1"/>
  <c r="C293" i="1"/>
  <c r="O291" i="1"/>
  <c r="L291" i="1"/>
  <c r="I291" i="1"/>
  <c r="F291" i="1"/>
  <c r="O290" i="1"/>
  <c r="L290" i="1"/>
  <c r="I290" i="1"/>
  <c r="F290" i="1"/>
  <c r="O289" i="1"/>
  <c r="L289" i="1"/>
  <c r="I289" i="1"/>
  <c r="I288" i="1" s="1"/>
  <c r="F289" i="1"/>
  <c r="F288" i="1" s="1"/>
  <c r="O288" i="1"/>
  <c r="L288" i="1"/>
  <c r="C288" i="1"/>
  <c r="O286" i="1"/>
  <c r="L286" i="1"/>
  <c r="I286" i="1"/>
  <c r="F286" i="1"/>
  <c r="O285" i="1"/>
  <c r="L285" i="1"/>
  <c r="L283" i="1" s="1"/>
  <c r="I285" i="1"/>
  <c r="F285" i="1"/>
  <c r="O284" i="1"/>
  <c r="L284" i="1"/>
  <c r="I284" i="1"/>
  <c r="I283" i="1" s="1"/>
  <c r="F284" i="1"/>
  <c r="O283" i="1"/>
  <c r="F283" i="1"/>
  <c r="C283" i="1"/>
  <c r="O281" i="1"/>
  <c r="L281" i="1"/>
  <c r="I281" i="1"/>
  <c r="F281" i="1"/>
  <c r="O280" i="1"/>
  <c r="L280" i="1"/>
  <c r="L278" i="1" s="1"/>
  <c r="I280" i="1"/>
  <c r="F280" i="1"/>
  <c r="O279" i="1"/>
  <c r="L279" i="1"/>
  <c r="I279" i="1"/>
  <c r="F279" i="1"/>
  <c r="O278" i="1"/>
  <c r="I278" i="1"/>
  <c r="F278" i="1"/>
  <c r="C278" i="1"/>
  <c r="O276" i="1"/>
  <c r="L276" i="1"/>
  <c r="I276" i="1"/>
  <c r="F276" i="1"/>
  <c r="O275" i="1"/>
  <c r="L275" i="1"/>
  <c r="I275" i="1"/>
  <c r="F275" i="1"/>
  <c r="O274" i="1"/>
  <c r="O273" i="1" s="1"/>
  <c r="L274" i="1"/>
  <c r="I274" i="1"/>
  <c r="F274" i="1"/>
  <c r="L273" i="1"/>
  <c r="L263" i="1" s="1"/>
  <c r="I273" i="1"/>
  <c r="F273" i="1"/>
  <c r="C273" i="1"/>
  <c r="O271" i="1"/>
  <c r="L271" i="1"/>
  <c r="I271" i="1"/>
  <c r="F271" i="1"/>
  <c r="O270" i="1"/>
  <c r="L270" i="1"/>
  <c r="I270" i="1"/>
  <c r="F270" i="1"/>
  <c r="F268" i="1" s="1"/>
  <c r="F263" i="1" s="1"/>
  <c r="O269" i="1"/>
  <c r="L269" i="1"/>
  <c r="I269" i="1"/>
  <c r="F269" i="1"/>
  <c r="O268" i="1"/>
  <c r="O263" i="1" s="1"/>
  <c r="L268" i="1"/>
  <c r="I268" i="1"/>
  <c r="C268" i="1"/>
  <c r="O266" i="1"/>
  <c r="L266" i="1"/>
  <c r="I266" i="1"/>
  <c r="F266" i="1"/>
  <c r="O265" i="1"/>
  <c r="L265" i="1"/>
  <c r="I265" i="1"/>
  <c r="F265" i="1"/>
  <c r="O264" i="1"/>
  <c r="L264" i="1"/>
  <c r="I264" i="1"/>
  <c r="I263" i="1" s="1"/>
  <c r="F264" i="1"/>
  <c r="C263" i="1"/>
  <c r="O261" i="1"/>
  <c r="L261" i="1"/>
  <c r="I261" i="1"/>
  <c r="F261" i="1"/>
  <c r="O260" i="1"/>
  <c r="O258" i="1" s="1"/>
  <c r="L260" i="1"/>
  <c r="I260" i="1"/>
  <c r="F260" i="1"/>
  <c r="O259" i="1"/>
  <c r="L259" i="1"/>
  <c r="L258" i="1" s="1"/>
  <c r="I259" i="1"/>
  <c r="F259" i="1"/>
  <c r="I258" i="1"/>
  <c r="F258" i="1"/>
  <c r="C258" i="1"/>
  <c r="O256" i="1"/>
  <c r="L256" i="1"/>
  <c r="I256" i="1"/>
  <c r="F256" i="1"/>
  <c r="O255" i="1"/>
  <c r="L255" i="1"/>
  <c r="I255" i="1"/>
  <c r="F255" i="1"/>
  <c r="O254" i="1"/>
  <c r="O253" i="1" s="1"/>
  <c r="L254" i="1"/>
  <c r="I254" i="1"/>
  <c r="F254" i="1"/>
  <c r="F253" i="1" s="1"/>
  <c r="L253" i="1"/>
  <c r="I253" i="1"/>
  <c r="C253" i="1"/>
  <c r="O251" i="1"/>
  <c r="L251" i="1"/>
  <c r="I251" i="1"/>
  <c r="F251" i="1"/>
  <c r="O250" i="1"/>
  <c r="L250" i="1"/>
  <c r="I250" i="1"/>
  <c r="F250" i="1"/>
  <c r="O249" i="1"/>
  <c r="L249" i="1"/>
  <c r="I249" i="1"/>
  <c r="I248" i="1" s="1"/>
  <c r="F249" i="1"/>
  <c r="F248" i="1" s="1"/>
  <c r="O248" i="1"/>
  <c r="L248" i="1"/>
  <c r="C248" i="1"/>
  <c r="O246" i="1"/>
  <c r="L246" i="1"/>
  <c r="I246" i="1"/>
  <c r="F246" i="1"/>
  <c r="O245" i="1"/>
  <c r="L245" i="1"/>
  <c r="I245" i="1"/>
  <c r="F245" i="1"/>
  <c r="O244" i="1"/>
  <c r="L244" i="1"/>
  <c r="L243" i="1" s="1"/>
  <c r="I244" i="1"/>
  <c r="I243" i="1" s="1"/>
  <c r="F244" i="1"/>
  <c r="O243" i="1"/>
  <c r="F243" i="1"/>
  <c r="C243" i="1"/>
  <c r="O241" i="1"/>
  <c r="L241" i="1"/>
  <c r="I241" i="1"/>
  <c r="F241" i="1"/>
  <c r="O240" i="1"/>
  <c r="O238" i="1" s="1"/>
  <c r="L240" i="1"/>
  <c r="I240" i="1"/>
  <c r="F240" i="1"/>
  <c r="O239" i="1"/>
  <c r="L239" i="1"/>
  <c r="L238" i="1" s="1"/>
  <c r="I239" i="1"/>
  <c r="F239" i="1"/>
  <c r="I238" i="1"/>
  <c r="F238" i="1"/>
  <c r="C238" i="1"/>
  <c r="O236" i="1"/>
  <c r="L236" i="1"/>
  <c r="I236" i="1"/>
  <c r="F236" i="1"/>
  <c r="O235" i="1"/>
  <c r="O233" i="1" s="1"/>
  <c r="L235" i="1"/>
  <c r="I235" i="1"/>
  <c r="F235" i="1"/>
  <c r="O234" i="1"/>
  <c r="L234" i="1"/>
  <c r="I234" i="1"/>
  <c r="F234" i="1"/>
  <c r="F233" i="1" s="1"/>
  <c r="L233" i="1"/>
  <c r="I233" i="1"/>
  <c r="C233" i="1"/>
  <c r="O231" i="1"/>
  <c r="L231" i="1"/>
  <c r="I231" i="1"/>
  <c r="F231" i="1"/>
  <c r="O230" i="1"/>
  <c r="L230" i="1"/>
  <c r="I230" i="1"/>
  <c r="F230" i="1"/>
  <c r="O229" i="1"/>
  <c r="L229" i="1"/>
  <c r="I229" i="1"/>
  <c r="I228" i="1" s="1"/>
  <c r="F229" i="1"/>
  <c r="F228" i="1" s="1"/>
  <c r="O228" i="1"/>
  <c r="L228" i="1"/>
  <c r="C228" i="1"/>
  <c r="O226" i="1"/>
  <c r="L226" i="1"/>
  <c r="I226" i="1"/>
  <c r="F226" i="1"/>
  <c r="O225" i="1"/>
  <c r="L225" i="1"/>
  <c r="L223" i="1" s="1"/>
  <c r="I225" i="1"/>
  <c r="I223" i="1" s="1"/>
  <c r="F225" i="1"/>
  <c r="O224" i="1"/>
  <c r="L224" i="1"/>
  <c r="I224" i="1"/>
  <c r="F224" i="1"/>
  <c r="O223" i="1"/>
  <c r="F223" i="1"/>
  <c r="C223" i="1"/>
  <c r="O221" i="1"/>
  <c r="L221" i="1"/>
  <c r="I221" i="1"/>
  <c r="F221" i="1"/>
  <c r="O220" i="1"/>
  <c r="O218" i="1" s="1"/>
  <c r="L220" i="1"/>
  <c r="I220" i="1"/>
  <c r="F220" i="1"/>
  <c r="O219" i="1"/>
  <c r="L219" i="1"/>
  <c r="L218" i="1" s="1"/>
  <c r="I219" i="1"/>
  <c r="F219" i="1"/>
  <c r="I218" i="1"/>
  <c r="F218" i="1"/>
  <c r="C218" i="1"/>
  <c r="O216" i="1"/>
  <c r="L216" i="1"/>
  <c r="I216" i="1"/>
  <c r="F216" i="1"/>
  <c r="O215" i="1"/>
  <c r="L215" i="1"/>
  <c r="I215" i="1"/>
  <c r="F215" i="1"/>
  <c r="O214" i="1"/>
  <c r="O213" i="1" s="1"/>
  <c r="O208" i="1" s="1"/>
  <c r="L214" i="1"/>
  <c r="I214" i="1"/>
  <c r="F214" i="1"/>
  <c r="F213" i="1" s="1"/>
  <c r="L213" i="1"/>
  <c r="L208" i="1" s="1"/>
  <c r="I213" i="1"/>
  <c r="C213" i="1"/>
  <c r="O211" i="1"/>
  <c r="L211" i="1"/>
  <c r="I211" i="1"/>
  <c r="F211" i="1"/>
  <c r="O210" i="1"/>
  <c r="L210" i="1"/>
  <c r="I210" i="1"/>
  <c r="F210" i="1"/>
  <c r="O209" i="1"/>
  <c r="L209" i="1"/>
  <c r="I209" i="1"/>
  <c r="F209" i="1"/>
  <c r="C208" i="1"/>
  <c r="O206" i="1"/>
  <c r="L206" i="1"/>
  <c r="I206" i="1"/>
  <c r="F206" i="1"/>
  <c r="O205" i="1"/>
  <c r="L205" i="1"/>
  <c r="I205" i="1"/>
  <c r="F205" i="1"/>
  <c r="O204" i="1"/>
  <c r="L204" i="1"/>
  <c r="L203" i="1" s="1"/>
  <c r="I204" i="1"/>
  <c r="I203" i="1" s="1"/>
  <c r="F204" i="1"/>
  <c r="O203" i="1"/>
  <c r="F203" i="1"/>
  <c r="C203" i="1"/>
  <c r="O201" i="1"/>
  <c r="L201" i="1"/>
  <c r="I201" i="1"/>
  <c r="F201" i="1"/>
  <c r="O200" i="1"/>
  <c r="L200" i="1"/>
  <c r="I200" i="1"/>
  <c r="F200" i="1"/>
  <c r="O199" i="1"/>
  <c r="O198" i="1" s="1"/>
  <c r="L199" i="1"/>
  <c r="L198" i="1" s="1"/>
  <c r="L193" i="1" s="1"/>
  <c r="I199" i="1"/>
  <c r="F199" i="1"/>
  <c r="I198" i="1"/>
  <c r="I193" i="1" s="1"/>
  <c r="F198" i="1"/>
  <c r="C198" i="1"/>
  <c r="O196" i="1"/>
  <c r="L196" i="1"/>
  <c r="I196" i="1"/>
  <c r="F196" i="1"/>
  <c r="O195" i="1"/>
  <c r="L195" i="1"/>
  <c r="I195" i="1"/>
  <c r="F195" i="1"/>
  <c r="O194" i="1"/>
  <c r="L194" i="1"/>
  <c r="I194" i="1"/>
  <c r="F194" i="1"/>
  <c r="F193" i="1" s="1"/>
  <c r="O193" i="1"/>
  <c r="C193" i="1"/>
  <c r="O191" i="1"/>
  <c r="L191" i="1"/>
  <c r="I191" i="1"/>
  <c r="F191" i="1"/>
  <c r="O190" i="1"/>
  <c r="L190" i="1"/>
  <c r="I190" i="1"/>
  <c r="F190" i="1"/>
  <c r="O189" i="1"/>
  <c r="L189" i="1"/>
  <c r="I189" i="1"/>
  <c r="I188" i="1" s="1"/>
  <c r="F189" i="1"/>
  <c r="F188" i="1" s="1"/>
  <c r="O188" i="1"/>
  <c r="L188" i="1"/>
  <c r="C188" i="1"/>
  <c r="O186" i="1"/>
  <c r="L186" i="1"/>
  <c r="I186" i="1"/>
  <c r="F186" i="1"/>
  <c r="O185" i="1"/>
  <c r="L185" i="1"/>
  <c r="L183" i="1" s="1"/>
  <c r="I185" i="1"/>
  <c r="F185" i="1"/>
  <c r="O184" i="1"/>
  <c r="L184" i="1"/>
  <c r="I184" i="1"/>
  <c r="I183" i="1" s="1"/>
  <c r="F184" i="1"/>
  <c r="O183" i="1"/>
  <c r="F183" i="1"/>
  <c r="C183" i="1"/>
  <c r="O181" i="1"/>
  <c r="L181" i="1"/>
  <c r="I181" i="1"/>
  <c r="F181" i="1"/>
  <c r="O180" i="1"/>
  <c r="L180" i="1"/>
  <c r="I180" i="1"/>
  <c r="F180" i="1"/>
  <c r="O179" i="1"/>
  <c r="L179" i="1"/>
  <c r="I179" i="1"/>
  <c r="F179" i="1"/>
  <c r="O178" i="1"/>
  <c r="L178" i="1"/>
  <c r="I178" i="1"/>
  <c r="F178" i="1"/>
  <c r="C178" i="1"/>
  <c r="O176" i="1"/>
  <c r="L176" i="1"/>
  <c r="I176" i="1"/>
  <c r="F176" i="1"/>
  <c r="O175" i="1"/>
  <c r="L175" i="1"/>
  <c r="I175" i="1"/>
  <c r="F175" i="1"/>
  <c r="O174" i="1"/>
  <c r="L174" i="1"/>
  <c r="I174" i="1"/>
  <c r="F174" i="1"/>
  <c r="F173" i="1" s="1"/>
  <c r="O173" i="1"/>
  <c r="L173" i="1"/>
  <c r="I173" i="1"/>
  <c r="C173" i="1"/>
  <c r="O171" i="1"/>
  <c r="L171" i="1"/>
  <c r="I171" i="1"/>
  <c r="F171" i="1"/>
  <c r="O170" i="1"/>
  <c r="L170" i="1"/>
  <c r="I170" i="1"/>
  <c r="F170" i="1"/>
  <c r="O169" i="1"/>
  <c r="L169" i="1"/>
  <c r="I169" i="1"/>
  <c r="I168" i="1" s="1"/>
  <c r="F169" i="1"/>
  <c r="O168" i="1"/>
  <c r="L168" i="1"/>
  <c r="F168" i="1"/>
  <c r="C168" i="1"/>
  <c r="O166" i="1"/>
  <c r="L166" i="1"/>
  <c r="I166" i="1"/>
  <c r="F166" i="1"/>
  <c r="O165" i="1"/>
  <c r="L165" i="1"/>
  <c r="I165" i="1"/>
  <c r="F165" i="1"/>
  <c r="O164" i="1"/>
  <c r="L164" i="1"/>
  <c r="L163" i="1" s="1"/>
  <c r="I164" i="1"/>
  <c r="I163" i="1" s="1"/>
  <c r="F164" i="1"/>
  <c r="O163" i="1"/>
  <c r="F163" i="1"/>
  <c r="C163" i="1"/>
  <c r="O161" i="1"/>
  <c r="L161" i="1"/>
  <c r="I161" i="1"/>
  <c r="F161" i="1"/>
  <c r="O160" i="1"/>
  <c r="O158" i="1" s="1"/>
  <c r="L160" i="1"/>
  <c r="I160" i="1"/>
  <c r="F160" i="1"/>
  <c r="O159" i="1"/>
  <c r="L159" i="1"/>
  <c r="L158" i="1" s="1"/>
  <c r="I159" i="1"/>
  <c r="F159" i="1"/>
  <c r="I158" i="1"/>
  <c r="F158" i="1"/>
  <c r="C158" i="1"/>
  <c r="O156" i="1"/>
  <c r="L156" i="1"/>
  <c r="I156" i="1"/>
  <c r="F156" i="1"/>
  <c r="O155" i="1"/>
  <c r="L155" i="1"/>
  <c r="I155" i="1"/>
  <c r="F155" i="1"/>
  <c r="F153" i="1" s="1"/>
  <c r="O154" i="1"/>
  <c r="L154" i="1"/>
  <c r="I154" i="1"/>
  <c r="F154" i="1"/>
  <c r="O153" i="1"/>
  <c r="L153" i="1"/>
  <c r="I153" i="1"/>
  <c r="C153" i="1"/>
  <c r="O151" i="1"/>
  <c r="L151" i="1"/>
  <c r="I151" i="1"/>
  <c r="F151" i="1"/>
  <c r="O150" i="1"/>
  <c r="L150" i="1"/>
  <c r="I150" i="1"/>
  <c r="I148" i="1" s="1"/>
  <c r="F150" i="1"/>
  <c r="O149" i="1"/>
  <c r="L149" i="1"/>
  <c r="I149" i="1"/>
  <c r="F149" i="1"/>
  <c r="O148" i="1"/>
  <c r="L148" i="1"/>
  <c r="F148" i="1"/>
  <c r="C148" i="1"/>
  <c r="O146" i="1"/>
  <c r="L146" i="1"/>
  <c r="I146" i="1"/>
  <c r="F146" i="1"/>
  <c r="O145" i="1"/>
  <c r="L145" i="1"/>
  <c r="I145" i="1"/>
  <c r="F145" i="1"/>
  <c r="O144" i="1"/>
  <c r="L144" i="1"/>
  <c r="I144" i="1"/>
  <c r="I143" i="1" s="1"/>
  <c r="F144" i="1"/>
  <c r="O143" i="1"/>
  <c r="L143" i="1"/>
  <c r="F143" i="1"/>
  <c r="C143" i="1"/>
  <c r="O141" i="1"/>
  <c r="L141" i="1"/>
  <c r="I141" i="1"/>
  <c r="F141" i="1"/>
  <c r="O140" i="1"/>
  <c r="L140" i="1"/>
  <c r="I140" i="1"/>
  <c r="F140" i="1"/>
  <c r="O139" i="1"/>
  <c r="L139" i="1"/>
  <c r="L138" i="1" s="1"/>
  <c r="L133" i="1" s="1"/>
  <c r="I139" i="1"/>
  <c r="F139" i="1"/>
  <c r="O138" i="1"/>
  <c r="I138" i="1"/>
  <c r="F138" i="1"/>
  <c r="C138" i="1"/>
  <c r="O136" i="1"/>
  <c r="L136" i="1"/>
  <c r="I136" i="1"/>
  <c r="F136" i="1"/>
  <c r="O135" i="1"/>
  <c r="L135" i="1"/>
  <c r="I135" i="1"/>
  <c r="F135" i="1"/>
  <c r="O134" i="1"/>
  <c r="O133" i="1" s="1"/>
  <c r="L134" i="1"/>
  <c r="I134" i="1"/>
  <c r="F134" i="1"/>
  <c r="F133" i="1" s="1"/>
  <c r="C133" i="1"/>
  <c r="O131" i="1"/>
  <c r="L131" i="1"/>
  <c r="I131" i="1"/>
  <c r="F131" i="1"/>
  <c r="O130" i="1"/>
  <c r="L130" i="1"/>
  <c r="I130" i="1"/>
  <c r="F130" i="1"/>
  <c r="O129" i="1"/>
  <c r="L129" i="1"/>
  <c r="I129" i="1"/>
  <c r="F129" i="1"/>
  <c r="O128" i="1"/>
  <c r="L128" i="1"/>
  <c r="I128" i="1"/>
  <c r="F128" i="1"/>
  <c r="C128" i="1"/>
  <c r="O126" i="1"/>
  <c r="L126" i="1"/>
  <c r="I126" i="1"/>
  <c r="F126" i="1"/>
  <c r="O125" i="1"/>
  <c r="L125" i="1"/>
  <c r="I125" i="1"/>
  <c r="F125" i="1"/>
  <c r="O124" i="1"/>
  <c r="L124" i="1"/>
  <c r="I124" i="1"/>
  <c r="F124" i="1"/>
  <c r="O123" i="1"/>
  <c r="L123" i="1"/>
  <c r="I123" i="1"/>
  <c r="F123" i="1"/>
  <c r="C123" i="1"/>
  <c r="O121" i="1"/>
  <c r="L121" i="1"/>
  <c r="I121" i="1"/>
  <c r="F121" i="1"/>
  <c r="O120" i="1"/>
  <c r="L120" i="1"/>
  <c r="I120" i="1"/>
  <c r="F120" i="1"/>
  <c r="O119" i="1"/>
  <c r="O118" i="1" s="1"/>
  <c r="L119" i="1"/>
  <c r="I119" i="1"/>
  <c r="F119" i="1"/>
  <c r="L118" i="1"/>
  <c r="I118" i="1"/>
  <c r="F118" i="1"/>
  <c r="C118" i="1"/>
  <c r="O116" i="1"/>
  <c r="L116" i="1"/>
  <c r="I116" i="1"/>
  <c r="F116" i="1"/>
  <c r="O115" i="1"/>
  <c r="L115" i="1"/>
  <c r="I115" i="1"/>
  <c r="F115" i="1"/>
  <c r="O114" i="1"/>
  <c r="O113" i="1" s="1"/>
  <c r="L114" i="1"/>
  <c r="I114" i="1"/>
  <c r="F114" i="1"/>
  <c r="F113" i="1" s="1"/>
  <c r="L113" i="1"/>
  <c r="I113" i="1"/>
  <c r="C113" i="1"/>
  <c r="O111" i="1"/>
  <c r="L111" i="1"/>
  <c r="I111" i="1"/>
  <c r="F111" i="1"/>
  <c r="O110" i="1"/>
  <c r="L110" i="1"/>
  <c r="I110" i="1"/>
  <c r="I108" i="1" s="1"/>
  <c r="F110" i="1"/>
  <c r="O109" i="1"/>
  <c r="L109" i="1"/>
  <c r="I109" i="1"/>
  <c r="F109" i="1"/>
  <c r="F108" i="1" s="1"/>
  <c r="O108" i="1"/>
  <c r="L108" i="1"/>
  <c r="C108" i="1"/>
  <c r="O106" i="1"/>
  <c r="L106" i="1"/>
  <c r="I106" i="1"/>
  <c r="F106" i="1"/>
  <c r="O105" i="1"/>
  <c r="L105" i="1"/>
  <c r="I105" i="1"/>
  <c r="F105" i="1"/>
  <c r="O104" i="1"/>
  <c r="L104" i="1"/>
  <c r="I104" i="1"/>
  <c r="F104" i="1"/>
  <c r="O103" i="1"/>
  <c r="L103" i="1"/>
  <c r="I103" i="1"/>
  <c r="F103" i="1"/>
  <c r="C103" i="1"/>
  <c r="O101" i="1"/>
  <c r="L101" i="1"/>
  <c r="I101" i="1"/>
  <c r="F101" i="1"/>
  <c r="O100" i="1"/>
  <c r="L100" i="1"/>
  <c r="I100" i="1"/>
  <c r="F100" i="1"/>
  <c r="O99" i="1"/>
  <c r="O98" i="1" s="1"/>
  <c r="L99" i="1"/>
  <c r="I99" i="1"/>
  <c r="F99" i="1"/>
  <c r="L98" i="1"/>
  <c r="I98" i="1"/>
  <c r="F98" i="1"/>
  <c r="C98" i="1"/>
  <c r="O96" i="1"/>
  <c r="L96" i="1"/>
  <c r="I96" i="1"/>
  <c r="F96" i="1"/>
  <c r="O95" i="1"/>
  <c r="L95" i="1"/>
  <c r="I95" i="1"/>
  <c r="F95" i="1"/>
  <c r="O94" i="1"/>
  <c r="L94" i="1"/>
  <c r="I94" i="1"/>
  <c r="F94" i="1"/>
  <c r="F93" i="1" s="1"/>
  <c r="O93" i="1"/>
  <c r="L93" i="1"/>
  <c r="I93" i="1"/>
  <c r="C93" i="1"/>
  <c r="O91" i="1"/>
  <c r="L91" i="1"/>
  <c r="I91" i="1"/>
  <c r="F91" i="1"/>
  <c r="O90" i="1"/>
  <c r="L90" i="1"/>
  <c r="I90" i="1"/>
  <c r="F90" i="1"/>
  <c r="O89" i="1"/>
  <c r="L89" i="1"/>
  <c r="I89" i="1"/>
  <c r="I88" i="1" s="1"/>
  <c r="F89" i="1"/>
  <c r="F88" i="1" s="1"/>
  <c r="O88" i="1"/>
  <c r="L88" i="1"/>
  <c r="C88" i="1"/>
  <c r="O86" i="1"/>
  <c r="L86" i="1"/>
  <c r="I86" i="1"/>
  <c r="F86" i="1"/>
  <c r="O85" i="1"/>
  <c r="L85" i="1"/>
  <c r="I85" i="1"/>
  <c r="F85" i="1"/>
  <c r="O84" i="1"/>
  <c r="L84" i="1"/>
  <c r="I84" i="1"/>
  <c r="F84" i="1"/>
  <c r="O83" i="1"/>
  <c r="L83" i="1"/>
  <c r="I83" i="1"/>
  <c r="F83" i="1"/>
  <c r="C83" i="1"/>
  <c r="O81" i="1"/>
  <c r="L81" i="1"/>
  <c r="I81" i="1"/>
  <c r="F81" i="1"/>
  <c r="O80" i="1"/>
  <c r="L80" i="1"/>
  <c r="I80" i="1"/>
  <c r="F80" i="1"/>
  <c r="O79" i="1"/>
  <c r="L79" i="1"/>
  <c r="I79" i="1"/>
  <c r="F79" i="1"/>
  <c r="O78" i="1"/>
  <c r="L78" i="1"/>
  <c r="I78" i="1"/>
  <c r="F78" i="1"/>
  <c r="C78" i="1"/>
  <c r="O76" i="1"/>
  <c r="L76" i="1"/>
  <c r="I76" i="1"/>
  <c r="F76" i="1"/>
  <c r="O75" i="1"/>
  <c r="L75" i="1"/>
  <c r="I75" i="1"/>
  <c r="F75" i="1"/>
  <c r="O74" i="1"/>
  <c r="L74" i="1"/>
  <c r="I74" i="1"/>
  <c r="F74" i="1"/>
  <c r="F73" i="1" s="1"/>
  <c r="O73" i="1"/>
  <c r="O68" i="1" s="1"/>
  <c r="L73" i="1"/>
  <c r="L68" i="1" s="1"/>
  <c r="I73" i="1"/>
  <c r="C73" i="1"/>
  <c r="O71" i="1"/>
  <c r="L71" i="1"/>
  <c r="I71" i="1"/>
  <c r="F71" i="1"/>
  <c r="O70" i="1"/>
  <c r="L70" i="1"/>
  <c r="I70" i="1"/>
  <c r="F70" i="1"/>
  <c r="O69" i="1"/>
  <c r="L69" i="1"/>
  <c r="I69" i="1"/>
  <c r="I68" i="1" s="1"/>
  <c r="F69" i="1"/>
  <c r="F68" i="1"/>
  <c r="C68" i="1"/>
  <c r="O66" i="1"/>
  <c r="L66" i="1"/>
  <c r="I66" i="1"/>
  <c r="F66" i="1"/>
  <c r="O65" i="1"/>
  <c r="L65" i="1"/>
  <c r="I65" i="1"/>
  <c r="F65" i="1"/>
  <c r="O64" i="1"/>
  <c r="L64" i="1"/>
  <c r="L63" i="1" s="1"/>
  <c r="I64" i="1"/>
  <c r="I63" i="1" s="1"/>
  <c r="F64" i="1"/>
  <c r="O63" i="1"/>
  <c r="F63" i="1"/>
  <c r="C63" i="1"/>
  <c r="O61" i="1"/>
  <c r="L61" i="1"/>
  <c r="I61" i="1"/>
  <c r="F61" i="1"/>
  <c r="O60" i="1"/>
  <c r="L60" i="1"/>
  <c r="I60" i="1"/>
  <c r="F60" i="1"/>
  <c r="O59" i="1"/>
  <c r="O58" i="1" s="1"/>
  <c r="L59" i="1"/>
  <c r="L58" i="1" s="1"/>
  <c r="I59" i="1"/>
  <c r="F59" i="1"/>
  <c r="I58" i="1"/>
  <c r="F58" i="1"/>
  <c r="C58" i="1"/>
  <c r="O56" i="1"/>
  <c r="L56" i="1"/>
  <c r="I56" i="1"/>
  <c r="F56" i="1"/>
  <c r="O55" i="1"/>
  <c r="L55" i="1"/>
  <c r="I55" i="1"/>
  <c r="F55" i="1"/>
  <c r="O54" i="1"/>
  <c r="L54" i="1"/>
  <c r="I54" i="1"/>
  <c r="F54" i="1"/>
  <c r="F53" i="1" s="1"/>
  <c r="O53" i="1"/>
  <c r="L53" i="1"/>
  <c r="I53" i="1"/>
  <c r="C53" i="1"/>
  <c r="O51" i="1"/>
  <c r="L51" i="1"/>
  <c r="I51" i="1"/>
  <c r="F51" i="1"/>
  <c r="O50" i="1"/>
  <c r="L50" i="1"/>
  <c r="I50" i="1"/>
  <c r="F50" i="1"/>
  <c r="O49" i="1"/>
  <c r="L49" i="1"/>
  <c r="I49" i="1"/>
  <c r="I48" i="1" s="1"/>
  <c r="F49" i="1"/>
  <c r="F48" i="1" s="1"/>
  <c r="O48" i="1"/>
  <c r="L48" i="1"/>
  <c r="C48" i="1"/>
  <c r="O46" i="1"/>
  <c r="L46" i="1"/>
  <c r="I46" i="1"/>
  <c r="F46" i="1"/>
  <c r="O45" i="1"/>
  <c r="L45" i="1"/>
  <c r="I45" i="1"/>
  <c r="F45" i="1"/>
  <c r="O44" i="1"/>
  <c r="L44" i="1"/>
  <c r="L43" i="1" s="1"/>
  <c r="I44" i="1"/>
  <c r="I43" i="1" s="1"/>
  <c r="F44" i="1"/>
  <c r="O43" i="1"/>
  <c r="F43" i="1"/>
  <c r="C43" i="1"/>
  <c r="O41" i="1"/>
  <c r="L41" i="1"/>
  <c r="I41" i="1"/>
  <c r="F41" i="1"/>
  <c r="O40" i="1"/>
  <c r="O38" i="1" s="1"/>
  <c r="L40" i="1"/>
  <c r="I40" i="1"/>
  <c r="F40" i="1"/>
  <c r="O39" i="1"/>
  <c r="L39" i="1"/>
  <c r="L38" i="1" s="1"/>
  <c r="I39" i="1"/>
  <c r="F39" i="1"/>
  <c r="I38" i="1"/>
  <c r="F38" i="1"/>
  <c r="C38" i="1"/>
  <c r="O36" i="1"/>
  <c r="L36" i="1"/>
  <c r="I36" i="1"/>
  <c r="F36" i="1"/>
  <c r="O35" i="1"/>
  <c r="L35" i="1"/>
  <c r="I35" i="1"/>
  <c r="F35" i="1"/>
  <c r="O34" i="1"/>
  <c r="L34" i="1"/>
  <c r="I34" i="1"/>
  <c r="F34" i="1"/>
  <c r="F33" i="1" s="1"/>
  <c r="O33" i="1"/>
  <c r="L33" i="1"/>
  <c r="I33" i="1"/>
  <c r="C33" i="1"/>
  <c r="O31" i="1"/>
  <c r="L31" i="1"/>
  <c r="I31" i="1"/>
  <c r="F31" i="1"/>
  <c r="F11" i="1" s="1"/>
  <c r="O30" i="1"/>
  <c r="L30" i="1"/>
  <c r="I30" i="1"/>
  <c r="F30" i="1"/>
  <c r="O29" i="1"/>
  <c r="L29" i="1"/>
  <c r="I29" i="1"/>
  <c r="I28" i="1" s="1"/>
  <c r="F29" i="1"/>
  <c r="F9" i="1" s="1"/>
  <c r="F8" i="1" s="1"/>
  <c r="O28" i="1"/>
  <c r="L28" i="1"/>
  <c r="C28" i="1"/>
  <c r="O26" i="1"/>
  <c r="L26" i="1"/>
  <c r="I26" i="1"/>
  <c r="F26" i="1"/>
  <c r="O25" i="1"/>
  <c r="L25" i="1"/>
  <c r="L23" i="1" s="1"/>
  <c r="I25" i="1"/>
  <c r="F25" i="1"/>
  <c r="O24" i="1"/>
  <c r="L24" i="1"/>
  <c r="I24" i="1"/>
  <c r="I23" i="1" s="1"/>
  <c r="F24" i="1"/>
  <c r="O23" i="1"/>
  <c r="F23" i="1"/>
  <c r="C23" i="1"/>
  <c r="O21" i="1"/>
  <c r="L21" i="1"/>
  <c r="I21" i="1"/>
  <c r="F21" i="1"/>
  <c r="O20" i="1"/>
  <c r="L20" i="1"/>
  <c r="I20" i="1"/>
  <c r="F20" i="1"/>
  <c r="O19" i="1"/>
  <c r="L19" i="1"/>
  <c r="L18" i="1" s="1"/>
  <c r="I19" i="1"/>
  <c r="F19" i="1"/>
  <c r="O18" i="1"/>
  <c r="I18" i="1"/>
  <c r="F18" i="1"/>
  <c r="C18" i="1"/>
  <c r="O16" i="1"/>
  <c r="L16" i="1"/>
  <c r="I16" i="1"/>
  <c r="F16" i="1"/>
  <c r="O15" i="1"/>
  <c r="L15" i="1"/>
  <c r="I15" i="1"/>
  <c r="F15" i="1"/>
  <c r="O14" i="1"/>
  <c r="L14" i="1"/>
  <c r="I14" i="1"/>
  <c r="F14" i="1"/>
  <c r="O13" i="1"/>
  <c r="L13" i="1"/>
  <c r="I13" i="1"/>
  <c r="F13" i="1"/>
  <c r="C13" i="1"/>
  <c r="F10" i="1"/>
  <c r="N6" i="1"/>
  <c r="E6" i="1"/>
  <c r="A3" i="1"/>
  <c r="L9" i="1" l="1"/>
  <c r="I10" i="1"/>
  <c r="I333" i="1"/>
  <c r="L10" i="1"/>
  <c r="I9" i="1"/>
  <c r="I8" i="1" s="1"/>
  <c r="F28" i="1"/>
  <c r="O10" i="1"/>
  <c r="F208" i="1"/>
  <c r="L11" i="1"/>
  <c r="I11" i="1"/>
  <c r="O9" i="1"/>
  <c r="O11" i="1"/>
  <c r="I133" i="1"/>
  <c r="I208" i="1"/>
  <c r="O8" i="1" l="1"/>
  <c r="L8" i="1"/>
</calcChain>
</file>

<file path=xl/sharedStrings.xml><?xml version="1.0" encoding="utf-8"?>
<sst xmlns="http://schemas.openxmlformats.org/spreadsheetml/2006/main" count="316" uniqueCount="14">
  <si>
    <t>Table K-1.</t>
  </si>
  <si>
    <t>Federal Defender Organizations—Summary of Representations, by District,</t>
  </si>
  <si>
    <t>Representations</t>
  </si>
  <si>
    <t>Pending</t>
  </si>
  <si>
    <t>Cases</t>
  </si>
  <si>
    <r>
      <t xml:space="preserve">by District </t>
    </r>
    <r>
      <rPr>
        <b/>
        <vertAlign val="superscript"/>
        <sz val="8"/>
        <color theme="1"/>
        <rFont val="Arial"/>
        <family val="2"/>
      </rPr>
      <t>1</t>
    </r>
  </si>
  <si>
    <t>Opened</t>
  </si>
  <si>
    <t>Closed</t>
  </si>
  <si>
    <t>Total</t>
  </si>
  <si>
    <t>Criminal</t>
  </si>
  <si>
    <t>Appeals</t>
  </si>
  <si>
    <t>Other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</si>
  <si>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Other representations include court-directed prisoner, bail/presentment, witness, probation revocation, and parole revocation representations.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</si>
  <si>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Community defender organization.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</si>
</sst>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0" fillId="0" borderId="7" xfId="0" applyBorder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/>
    <xf numFmtId="164" fontId="5" fillId="0" borderId="0" xfId="1" applyNumberFormat="1" applyFont="1" applyFill="1"/>
    <xf numFmtId="164" fontId="5" fillId="0" borderId="0" xfId="1" applyNumberFormat="1" applyFont="1"/>
    <xf numFmtId="0" fontId="3" fillId="0" borderId="0" xfId="0" applyFont="1"/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Judicial%20Business\2017\Table%20K-1%20%20-%202017%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Raw Data"/>
      <sheetName val="Check Sheet"/>
      <sheetName val="Sheet1"/>
    </sheetNames>
    <sheetDataSet>
      <sheetData sheetId="0"/>
      <sheetData sheetId="1"/>
      <sheetData sheetId="2"/>
      <sheetData sheetId="3">
        <row r="2">
          <cell r="A2">
            <v>2017</v>
          </cell>
          <cell r="B2" t="str">
            <v>AK</v>
          </cell>
          <cell r="C2" t="str">
            <v>FPD</v>
          </cell>
          <cell r="D2">
            <v>102</v>
          </cell>
          <cell r="E2">
            <v>156</v>
          </cell>
          <cell r="F2">
            <v>120</v>
          </cell>
          <cell r="G2">
            <v>138</v>
          </cell>
          <cell r="H2">
            <v>31</v>
          </cell>
          <cell r="I2">
            <v>14</v>
          </cell>
          <cell r="J2">
            <v>24</v>
          </cell>
          <cell r="K2">
            <v>20</v>
          </cell>
          <cell r="L2">
            <v>187</v>
          </cell>
          <cell r="M2">
            <v>199</v>
          </cell>
          <cell r="N2">
            <v>152</v>
          </cell>
          <cell r="O2">
            <v>239</v>
          </cell>
        </row>
        <row r="3">
          <cell r="B3" t="str">
            <v>AL, M</v>
          </cell>
          <cell r="C3" t="str">
            <v>CDO</v>
          </cell>
          <cell r="D3">
            <v>87</v>
          </cell>
          <cell r="E3">
            <v>155</v>
          </cell>
          <cell r="F3">
            <v>172</v>
          </cell>
          <cell r="G3">
            <v>70</v>
          </cell>
          <cell r="H3">
            <v>39</v>
          </cell>
          <cell r="I3">
            <v>42</v>
          </cell>
          <cell r="J3">
            <v>20</v>
          </cell>
          <cell r="K3">
            <v>61</v>
          </cell>
          <cell r="L3">
            <v>137</v>
          </cell>
          <cell r="M3">
            <v>113</v>
          </cell>
          <cell r="N3">
            <v>178</v>
          </cell>
          <cell r="O3">
            <v>72</v>
          </cell>
        </row>
        <row r="4">
          <cell r="B4" t="str">
            <v>AL, N</v>
          </cell>
          <cell r="C4" t="str">
            <v>FPD</v>
          </cell>
          <cell r="D4">
            <v>106</v>
          </cell>
          <cell r="E4">
            <v>344</v>
          </cell>
          <cell r="F4">
            <v>264</v>
          </cell>
          <cell r="G4">
            <v>179</v>
          </cell>
          <cell r="H4">
            <v>41</v>
          </cell>
          <cell r="I4">
            <v>37</v>
          </cell>
          <cell r="J4">
            <v>40</v>
          </cell>
          <cell r="K4">
            <v>35</v>
          </cell>
          <cell r="L4">
            <v>89</v>
          </cell>
          <cell r="M4">
            <v>262</v>
          </cell>
          <cell r="N4">
            <v>264</v>
          </cell>
          <cell r="O4">
            <v>86</v>
          </cell>
        </row>
        <row r="5">
          <cell r="B5" t="str">
            <v>AL, S</v>
          </cell>
          <cell r="C5" t="str">
            <v>CDO</v>
          </cell>
          <cell r="D5">
            <v>63</v>
          </cell>
          <cell r="E5">
            <v>188</v>
          </cell>
          <cell r="F5">
            <v>182</v>
          </cell>
          <cell r="G5">
            <v>69</v>
          </cell>
          <cell r="H5">
            <v>25</v>
          </cell>
          <cell r="I5">
            <v>18</v>
          </cell>
          <cell r="J5">
            <v>23</v>
          </cell>
          <cell r="K5">
            <v>20</v>
          </cell>
          <cell r="L5">
            <v>73</v>
          </cell>
          <cell r="M5">
            <v>149</v>
          </cell>
          <cell r="N5">
            <v>200</v>
          </cell>
          <cell r="O5">
            <v>22</v>
          </cell>
        </row>
        <row r="6">
          <cell r="B6" t="str">
            <v>AR, E</v>
          </cell>
          <cell r="C6" t="str">
            <v>FPD</v>
          </cell>
          <cell r="D6">
            <v>199</v>
          </cell>
          <cell r="E6">
            <v>246</v>
          </cell>
          <cell r="F6">
            <v>134</v>
          </cell>
          <cell r="G6">
            <v>311</v>
          </cell>
          <cell r="H6">
            <v>73</v>
          </cell>
          <cell r="I6">
            <v>25</v>
          </cell>
          <cell r="J6">
            <v>52</v>
          </cell>
          <cell r="K6">
            <v>46</v>
          </cell>
          <cell r="L6">
            <v>290</v>
          </cell>
          <cell r="M6">
            <v>322</v>
          </cell>
          <cell r="N6">
            <v>405</v>
          </cell>
          <cell r="O6">
            <v>207</v>
          </cell>
        </row>
        <row r="7">
          <cell r="B7" t="str">
            <v>AR, W</v>
          </cell>
          <cell r="C7" t="str">
            <v>FPD</v>
          </cell>
          <cell r="D7">
            <v>95</v>
          </cell>
          <cell r="E7">
            <v>148</v>
          </cell>
          <cell r="F7">
            <v>156</v>
          </cell>
          <cell r="G7">
            <v>88</v>
          </cell>
          <cell r="H7">
            <v>68</v>
          </cell>
          <cell r="I7">
            <v>29</v>
          </cell>
          <cell r="J7">
            <v>63</v>
          </cell>
          <cell r="K7">
            <v>35</v>
          </cell>
          <cell r="L7">
            <v>40</v>
          </cell>
          <cell r="M7">
            <v>80</v>
          </cell>
          <cell r="N7">
            <v>67</v>
          </cell>
          <cell r="O7">
            <v>55</v>
          </cell>
        </row>
        <row r="8">
          <cell r="B8" t="str">
            <v>AZ</v>
          </cell>
          <cell r="C8" t="str">
            <v>FPD</v>
          </cell>
          <cell r="D8">
            <v>862</v>
          </cell>
          <cell r="E8">
            <v>4314</v>
          </cell>
          <cell r="F8">
            <v>4157</v>
          </cell>
          <cell r="G8">
            <v>1022</v>
          </cell>
          <cell r="H8">
            <v>117</v>
          </cell>
          <cell r="I8">
            <v>92</v>
          </cell>
          <cell r="J8">
            <v>89</v>
          </cell>
          <cell r="K8">
            <v>120</v>
          </cell>
          <cell r="L8">
            <v>822</v>
          </cell>
          <cell r="M8">
            <v>1340</v>
          </cell>
          <cell r="N8">
            <v>1648</v>
          </cell>
          <cell r="O8">
            <v>512</v>
          </cell>
        </row>
        <row r="9">
          <cell r="B9" t="str">
            <v>CA, C</v>
          </cell>
          <cell r="C9" t="str">
            <v>FPD</v>
          </cell>
          <cell r="D9">
            <v>721</v>
          </cell>
          <cell r="E9">
            <v>1234</v>
          </cell>
          <cell r="F9">
            <v>1180</v>
          </cell>
          <cell r="G9">
            <v>774</v>
          </cell>
          <cell r="H9">
            <v>494</v>
          </cell>
          <cell r="I9">
            <v>316</v>
          </cell>
          <cell r="J9">
            <v>226</v>
          </cell>
          <cell r="K9">
            <v>570</v>
          </cell>
          <cell r="L9">
            <v>2648</v>
          </cell>
          <cell r="M9">
            <v>2489</v>
          </cell>
          <cell r="N9">
            <v>3255</v>
          </cell>
          <cell r="O9">
            <v>1896</v>
          </cell>
        </row>
        <row r="10">
          <cell r="B10" t="str">
            <v>CA, E</v>
          </cell>
          <cell r="C10" t="str">
            <v>FPD</v>
          </cell>
          <cell r="D10">
            <v>293</v>
          </cell>
          <cell r="E10">
            <v>667</v>
          </cell>
          <cell r="F10">
            <v>646</v>
          </cell>
          <cell r="G10">
            <v>314</v>
          </cell>
          <cell r="H10">
            <v>134</v>
          </cell>
          <cell r="I10">
            <v>53</v>
          </cell>
          <cell r="J10">
            <v>90</v>
          </cell>
          <cell r="K10">
            <v>97</v>
          </cell>
          <cell r="L10">
            <v>268</v>
          </cell>
          <cell r="M10">
            <v>588</v>
          </cell>
          <cell r="N10">
            <v>628</v>
          </cell>
          <cell r="O10">
            <v>229</v>
          </cell>
        </row>
        <row r="11">
          <cell r="B11" t="str">
            <v>CA, N</v>
          </cell>
          <cell r="C11" t="str">
            <v>FPD</v>
          </cell>
          <cell r="D11">
            <v>973</v>
          </cell>
          <cell r="E11">
            <v>1407</v>
          </cell>
          <cell r="F11">
            <v>2083</v>
          </cell>
          <cell r="G11">
            <v>297</v>
          </cell>
          <cell r="H11">
            <v>142</v>
          </cell>
          <cell r="I11">
            <v>68</v>
          </cell>
          <cell r="J11">
            <v>137</v>
          </cell>
          <cell r="K11">
            <v>73</v>
          </cell>
          <cell r="L11">
            <v>284</v>
          </cell>
          <cell r="M11">
            <v>608</v>
          </cell>
          <cell r="N11">
            <v>647</v>
          </cell>
          <cell r="O11">
            <v>245</v>
          </cell>
        </row>
        <row r="12">
          <cell r="B12" t="str">
            <v>CA, S</v>
          </cell>
          <cell r="C12" t="str">
            <v>CDO</v>
          </cell>
          <cell r="D12">
            <v>1336</v>
          </cell>
          <cell r="E12">
            <v>2549</v>
          </cell>
          <cell r="F12">
            <v>1752</v>
          </cell>
          <cell r="G12">
            <v>2132</v>
          </cell>
          <cell r="H12">
            <v>364</v>
          </cell>
          <cell r="I12">
            <v>151</v>
          </cell>
          <cell r="J12">
            <v>151</v>
          </cell>
          <cell r="K12">
            <v>364</v>
          </cell>
          <cell r="L12">
            <v>529</v>
          </cell>
          <cell r="M12">
            <v>3789</v>
          </cell>
          <cell r="N12">
            <v>3781</v>
          </cell>
          <cell r="O12">
            <v>538</v>
          </cell>
        </row>
        <row r="13">
          <cell r="B13" t="str">
            <v>TOT: CO/WY</v>
          </cell>
          <cell r="C13" t="str">
            <v>FPD</v>
          </cell>
          <cell r="D13">
            <v>243</v>
          </cell>
          <cell r="E13">
            <v>631</v>
          </cell>
          <cell r="F13">
            <v>610</v>
          </cell>
          <cell r="G13">
            <v>264</v>
          </cell>
          <cell r="H13">
            <v>257</v>
          </cell>
          <cell r="I13">
            <v>142</v>
          </cell>
          <cell r="J13">
            <v>230</v>
          </cell>
          <cell r="K13">
            <v>169</v>
          </cell>
          <cell r="L13">
            <v>82</v>
          </cell>
          <cell r="M13">
            <v>560</v>
          </cell>
          <cell r="N13">
            <v>547</v>
          </cell>
          <cell r="O13">
            <v>95</v>
          </cell>
        </row>
        <row r="14">
          <cell r="B14" t="str">
            <v xml:space="preserve">   CO</v>
          </cell>
          <cell r="C14" t="str">
            <v>FPD</v>
          </cell>
          <cell r="D14">
            <v>190</v>
          </cell>
          <cell r="E14">
            <v>442</v>
          </cell>
          <cell r="F14">
            <v>421</v>
          </cell>
          <cell r="G14">
            <v>211</v>
          </cell>
          <cell r="H14">
            <v>205</v>
          </cell>
          <cell r="I14">
            <v>138</v>
          </cell>
          <cell r="J14">
            <v>187</v>
          </cell>
          <cell r="K14">
            <v>156</v>
          </cell>
          <cell r="L14">
            <v>75</v>
          </cell>
          <cell r="M14">
            <v>481</v>
          </cell>
          <cell r="N14">
            <v>467</v>
          </cell>
          <cell r="O14">
            <v>89</v>
          </cell>
        </row>
        <row r="15">
          <cell r="B15" t="str">
            <v xml:space="preserve">   WY</v>
          </cell>
          <cell r="C15" t="str">
            <v>FPD</v>
          </cell>
          <cell r="D15">
            <v>53</v>
          </cell>
          <cell r="E15">
            <v>189</v>
          </cell>
          <cell r="F15">
            <v>189</v>
          </cell>
          <cell r="G15">
            <v>53</v>
          </cell>
          <cell r="H15">
            <v>52</v>
          </cell>
          <cell r="I15">
            <v>4</v>
          </cell>
          <cell r="J15">
            <v>43</v>
          </cell>
          <cell r="K15">
            <v>13</v>
          </cell>
          <cell r="L15">
            <v>7</v>
          </cell>
          <cell r="M15">
            <v>79</v>
          </cell>
          <cell r="N15">
            <v>80</v>
          </cell>
          <cell r="O15">
            <v>6</v>
          </cell>
        </row>
        <row r="16">
          <cell r="B16" t="str">
            <v>CT</v>
          </cell>
          <cell r="C16" t="str">
            <v>FPD</v>
          </cell>
          <cell r="D16">
            <v>163</v>
          </cell>
          <cell r="E16">
            <v>176</v>
          </cell>
          <cell r="F16">
            <v>159</v>
          </cell>
          <cell r="G16">
            <v>180</v>
          </cell>
          <cell r="H16">
            <v>104</v>
          </cell>
          <cell r="I16">
            <v>16</v>
          </cell>
          <cell r="J16">
            <v>35</v>
          </cell>
          <cell r="K16">
            <v>85</v>
          </cell>
          <cell r="L16">
            <v>260</v>
          </cell>
          <cell r="M16">
            <v>398</v>
          </cell>
          <cell r="N16">
            <v>341</v>
          </cell>
          <cell r="O16">
            <v>317</v>
          </cell>
        </row>
        <row r="17">
          <cell r="B17" t="str">
            <v>DC</v>
          </cell>
          <cell r="C17" t="str">
            <v>FPD</v>
          </cell>
          <cell r="D17">
            <v>144</v>
          </cell>
          <cell r="E17">
            <v>151</v>
          </cell>
          <cell r="F17">
            <v>135</v>
          </cell>
          <cell r="G17">
            <v>162</v>
          </cell>
          <cell r="H17">
            <v>186</v>
          </cell>
          <cell r="I17">
            <v>19</v>
          </cell>
          <cell r="J17">
            <v>65</v>
          </cell>
          <cell r="K17">
            <v>140</v>
          </cell>
          <cell r="L17">
            <v>838</v>
          </cell>
          <cell r="M17">
            <v>245</v>
          </cell>
          <cell r="N17">
            <v>732</v>
          </cell>
          <cell r="O17">
            <v>347</v>
          </cell>
        </row>
        <row r="18">
          <cell r="B18" t="str">
            <v>DEL</v>
          </cell>
          <cell r="C18" t="str">
            <v>FPD</v>
          </cell>
          <cell r="D18">
            <v>53</v>
          </cell>
          <cell r="E18">
            <v>56</v>
          </cell>
          <cell r="F18">
            <v>67</v>
          </cell>
          <cell r="G18">
            <v>46</v>
          </cell>
          <cell r="H18">
            <v>79</v>
          </cell>
          <cell r="I18">
            <v>58</v>
          </cell>
          <cell r="J18">
            <v>76</v>
          </cell>
          <cell r="K18">
            <v>53</v>
          </cell>
          <cell r="L18">
            <v>74</v>
          </cell>
          <cell r="M18">
            <v>52</v>
          </cell>
          <cell r="N18">
            <v>59</v>
          </cell>
          <cell r="O18">
            <v>58</v>
          </cell>
        </row>
        <row r="19">
          <cell r="B19" t="str">
            <v>FL, M</v>
          </cell>
          <cell r="C19" t="str">
            <v>FPD</v>
          </cell>
          <cell r="D19">
            <v>454</v>
          </cell>
          <cell r="E19">
            <v>1029</v>
          </cell>
          <cell r="F19">
            <v>991</v>
          </cell>
          <cell r="G19">
            <v>492</v>
          </cell>
          <cell r="H19">
            <v>365</v>
          </cell>
          <cell r="I19">
            <v>184</v>
          </cell>
          <cell r="J19">
            <v>257</v>
          </cell>
          <cell r="K19">
            <v>292</v>
          </cell>
          <cell r="L19">
            <v>1320</v>
          </cell>
          <cell r="M19">
            <v>869</v>
          </cell>
          <cell r="N19">
            <v>1254</v>
          </cell>
          <cell r="O19">
            <v>935</v>
          </cell>
        </row>
        <row r="20">
          <cell r="B20" t="str">
            <v>FL, N</v>
          </cell>
          <cell r="C20" t="str">
            <v>FPD</v>
          </cell>
          <cell r="D20">
            <v>87</v>
          </cell>
          <cell r="E20">
            <v>259</v>
          </cell>
          <cell r="F20">
            <v>252</v>
          </cell>
          <cell r="G20">
            <v>93</v>
          </cell>
          <cell r="H20">
            <v>90</v>
          </cell>
          <cell r="I20">
            <v>35</v>
          </cell>
          <cell r="J20">
            <v>61</v>
          </cell>
          <cell r="K20">
            <v>66</v>
          </cell>
          <cell r="L20">
            <v>76</v>
          </cell>
          <cell r="M20">
            <v>276</v>
          </cell>
          <cell r="N20">
            <v>247</v>
          </cell>
          <cell r="O20">
            <v>104</v>
          </cell>
        </row>
        <row r="21">
          <cell r="B21" t="str">
            <v>FL, S</v>
          </cell>
          <cell r="C21" t="str">
            <v>FPD</v>
          </cell>
          <cell r="D21">
            <v>660</v>
          </cell>
          <cell r="E21">
            <v>1219</v>
          </cell>
          <cell r="F21">
            <v>1204</v>
          </cell>
          <cell r="G21">
            <v>681</v>
          </cell>
          <cell r="H21">
            <v>718</v>
          </cell>
          <cell r="I21">
            <v>306</v>
          </cell>
          <cell r="J21">
            <v>484</v>
          </cell>
          <cell r="K21">
            <v>540</v>
          </cell>
          <cell r="L21">
            <v>818</v>
          </cell>
          <cell r="M21">
            <v>826</v>
          </cell>
          <cell r="N21">
            <v>1140</v>
          </cell>
          <cell r="O21">
            <v>495</v>
          </cell>
        </row>
        <row r="22">
          <cell r="B22" t="str">
            <v>GA, M</v>
          </cell>
          <cell r="C22" t="str">
            <v>CDO</v>
          </cell>
          <cell r="D22">
            <v>100</v>
          </cell>
          <cell r="E22">
            <v>194</v>
          </cell>
          <cell r="F22">
            <v>184</v>
          </cell>
          <cell r="G22">
            <v>111</v>
          </cell>
          <cell r="H22">
            <v>95</v>
          </cell>
          <cell r="I22">
            <v>22</v>
          </cell>
          <cell r="J22">
            <v>170</v>
          </cell>
          <cell r="K22">
            <v>64</v>
          </cell>
          <cell r="L22">
            <v>259</v>
          </cell>
          <cell r="M22">
            <v>95</v>
          </cell>
          <cell r="N22">
            <v>206</v>
          </cell>
          <cell r="O22">
            <v>27</v>
          </cell>
        </row>
        <row r="23">
          <cell r="B23" t="str">
            <v>GA, N</v>
          </cell>
          <cell r="C23" t="str">
            <v>CDO</v>
          </cell>
          <cell r="D23">
            <v>378</v>
          </cell>
          <cell r="E23">
            <v>719</v>
          </cell>
          <cell r="F23">
            <v>743</v>
          </cell>
          <cell r="G23">
            <v>354</v>
          </cell>
          <cell r="H23">
            <v>183</v>
          </cell>
          <cell r="I23">
            <v>86</v>
          </cell>
          <cell r="J23">
            <v>142</v>
          </cell>
          <cell r="K23">
            <v>126</v>
          </cell>
          <cell r="L23">
            <v>229</v>
          </cell>
          <cell r="M23">
            <v>281</v>
          </cell>
          <cell r="N23">
            <v>385</v>
          </cell>
          <cell r="O23">
            <v>126</v>
          </cell>
        </row>
        <row r="24">
          <cell r="B24" t="str">
            <v>GU</v>
          </cell>
          <cell r="C24" t="str">
            <v>FPD</v>
          </cell>
          <cell r="D24">
            <v>29</v>
          </cell>
          <cell r="E24">
            <v>67</v>
          </cell>
          <cell r="F24">
            <v>73</v>
          </cell>
          <cell r="G24">
            <v>23</v>
          </cell>
          <cell r="H24">
            <v>4</v>
          </cell>
          <cell r="I24">
            <v>0</v>
          </cell>
          <cell r="J24">
            <v>2</v>
          </cell>
          <cell r="K24">
            <v>2</v>
          </cell>
          <cell r="L24">
            <v>53</v>
          </cell>
          <cell r="M24">
            <v>66</v>
          </cell>
          <cell r="N24">
            <v>88</v>
          </cell>
          <cell r="O24">
            <v>31</v>
          </cell>
        </row>
        <row r="25">
          <cell r="B25" t="str">
            <v>HI</v>
          </cell>
          <cell r="C25" t="str">
            <v>FPD</v>
          </cell>
          <cell r="D25">
            <v>55</v>
          </cell>
          <cell r="E25">
            <v>128</v>
          </cell>
          <cell r="F25">
            <v>141</v>
          </cell>
          <cell r="G25">
            <v>41</v>
          </cell>
          <cell r="H25">
            <v>72</v>
          </cell>
          <cell r="I25">
            <v>12</v>
          </cell>
          <cell r="J25">
            <v>52</v>
          </cell>
          <cell r="K25">
            <v>33</v>
          </cell>
          <cell r="L25">
            <v>117</v>
          </cell>
          <cell r="M25">
            <v>192</v>
          </cell>
          <cell r="N25">
            <v>250</v>
          </cell>
          <cell r="O25">
            <v>60</v>
          </cell>
        </row>
        <row r="26">
          <cell r="B26" t="str">
            <v>TOT: IA, S/N</v>
          </cell>
          <cell r="C26" t="str">
            <v>FPD</v>
          </cell>
          <cell r="D26">
            <v>256</v>
          </cell>
          <cell r="E26">
            <v>523</v>
          </cell>
          <cell r="F26">
            <v>473</v>
          </cell>
          <cell r="G26">
            <v>290</v>
          </cell>
          <cell r="H26">
            <v>268</v>
          </cell>
          <cell r="I26">
            <v>97</v>
          </cell>
          <cell r="J26">
            <v>223</v>
          </cell>
          <cell r="K26">
            <v>140</v>
          </cell>
          <cell r="L26">
            <v>67</v>
          </cell>
          <cell r="M26">
            <v>421</v>
          </cell>
          <cell r="N26">
            <v>439</v>
          </cell>
          <cell r="O26">
            <v>49</v>
          </cell>
        </row>
        <row r="27">
          <cell r="B27" t="str">
            <v xml:space="preserve">   IA, N</v>
          </cell>
          <cell r="C27" t="str">
            <v>FPD</v>
          </cell>
          <cell r="D27">
            <v>101</v>
          </cell>
          <cell r="E27">
            <v>243</v>
          </cell>
          <cell r="F27">
            <v>214</v>
          </cell>
          <cell r="G27">
            <v>114</v>
          </cell>
          <cell r="H27">
            <v>156</v>
          </cell>
          <cell r="I27">
            <v>37</v>
          </cell>
          <cell r="J27">
            <v>119</v>
          </cell>
          <cell r="K27">
            <v>72</v>
          </cell>
          <cell r="L27">
            <v>24</v>
          </cell>
          <cell r="M27">
            <v>71</v>
          </cell>
          <cell r="N27">
            <v>85</v>
          </cell>
          <cell r="O27">
            <v>10</v>
          </cell>
        </row>
        <row r="28">
          <cell r="B28" t="str">
            <v xml:space="preserve">   IA, S</v>
          </cell>
          <cell r="C28" t="str">
            <v>FPD</v>
          </cell>
          <cell r="D28">
            <v>155</v>
          </cell>
          <cell r="E28">
            <v>280</v>
          </cell>
          <cell r="F28">
            <v>259</v>
          </cell>
          <cell r="G28">
            <v>176</v>
          </cell>
          <cell r="H28">
            <v>112</v>
          </cell>
          <cell r="I28">
            <v>60</v>
          </cell>
          <cell r="J28">
            <v>104</v>
          </cell>
          <cell r="K28">
            <v>68</v>
          </cell>
          <cell r="L28">
            <v>43</v>
          </cell>
          <cell r="M28">
            <v>350</v>
          </cell>
          <cell r="N28">
            <v>354</v>
          </cell>
          <cell r="O28">
            <v>39</v>
          </cell>
        </row>
        <row r="29">
          <cell r="B29" t="str">
            <v>ID</v>
          </cell>
          <cell r="C29" t="str">
            <v>CDO</v>
          </cell>
          <cell r="D29">
            <v>132</v>
          </cell>
          <cell r="E29">
            <v>225</v>
          </cell>
          <cell r="F29">
            <v>213</v>
          </cell>
          <cell r="G29">
            <v>146</v>
          </cell>
          <cell r="H29">
            <v>37</v>
          </cell>
          <cell r="I29">
            <v>9</v>
          </cell>
          <cell r="J29">
            <v>16</v>
          </cell>
          <cell r="K29">
            <v>30</v>
          </cell>
          <cell r="L29">
            <v>50</v>
          </cell>
          <cell r="M29">
            <v>115</v>
          </cell>
          <cell r="N29">
            <v>117</v>
          </cell>
          <cell r="O29">
            <v>46</v>
          </cell>
        </row>
        <row r="30">
          <cell r="B30" t="str">
            <v>IL, C</v>
          </cell>
          <cell r="C30" t="str">
            <v>FPD</v>
          </cell>
          <cell r="D30">
            <v>113</v>
          </cell>
          <cell r="E30">
            <v>196</v>
          </cell>
          <cell r="F30">
            <v>190</v>
          </cell>
          <cell r="G30">
            <v>119</v>
          </cell>
          <cell r="H30">
            <v>138</v>
          </cell>
          <cell r="I30">
            <v>174</v>
          </cell>
          <cell r="J30">
            <v>179</v>
          </cell>
          <cell r="K30">
            <v>133</v>
          </cell>
          <cell r="L30">
            <v>121</v>
          </cell>
          <cell r="M30">
            <v>271</v>
          </cell>
          <cell r="N30">
            <v>297</v>
          </cell>
          <cell r="O30">
            <v>95</v>
          </cell>
        </row>
        <row r="31">
          <cell r="B31" t="str">
            <v>IL, N</v>
          </cell>
          <cell r="C31" t="str">
            <v>CDO</v>
          </cell>
          <cell r="D31">
            <v>299</v>
          </cell>
          <cell r="E31">
            <v>307</v>
          </cell>
          <cell r="F31">
            <v>299</v>
          </cell>
          <cell r="G31">
            <v>308</v>
          </cell>
          <cell r="H31">
            <v>240</v>
          </cell>
          <cell r="I31">
            <v>34</v>
          </cell>
          <cell r="J31">
            <v>212</v>
          </cell>
          <cell r="K31">
            <v>63</v>
          </cell>
          <cell r="L31">
            <v>964</v>
          </cell>
          <cell r="M31">
            <v>463</v>
          </cell>
          <cell r="N31">
            <v>959</v>
          </cell>
          <cell r="O31">
            <v>467</v>
          </cell>
        </row>
        <row r="32">
          <cell r="B32" t="str">
            <v>IL, S</v>
          </cell>
          <cell r="C32" t="str">
            <v>FPD</v>
          </cell>
          <cell r="D32">
            <v>87</v>
          </cell>
          <cell r="E32">
            <v>182</v>
          </cell>
          <cell r="F32">
            <v>161</v>
          </cell>
          <cell r="G32">
            <v>108</v>
          </cell>
          <cell r="H32">
            <v>64</v>
          </cell>
          <cell r="I32">
            <v>27</v>
          </cell>
          <cell r="J32">
            <v>48</v>
          </cell>
          <cell r="K32">
            <v>43</v>
          </cell>
          <cell r="L32">
            <v>215</v>
          </cell>
          <cell r="M32">
            <v>448</v>
          </cell>
          <cell r="N32">
            <v>499</v>
          </cell>
          <cell r="O32">
            <v>164</v>
          </cell>
        </row>
        <row r="33">
          <cell r="B33" t="str">
            <v>IN, N</v>
          </cell>
          <cell r="C33" t="str">
            <v>CDO</v>
          </cell>
          <cell r="D33">
            <v>95</v>
          </cell>
          <cell r="E33">
            <v>155</v>
          </cell>
          <cell r="F33">
            <v>148</v>
          </cell>
          <cell r="G33">
            <v>98</v>
          </cell>
          <cell r="H33">
            <v>95</v>
          </cell>
          <cell r="I33">
            <v>21</v>
          </cell>
          <cell r="J33">
            <v>92</v>
          </cell>
          <cell r="K33">
            <v>24</v>
          </cell>
          <cell r="L33">
            <v>70</v>
          </cell>
          <cell r="M33">
            <v>89</v>
          </cell>
          <cell r="N33">
            <v>115</v>
          </cell>
          <cell r="O33">
            <v>44</v>
          </cell>
        </row>
        <row r="34">
          <cell r="B34" t="str">
            <v>IN, S</v>
          </cell>
          <cell r="C34" t="str">
            <v>CDO</v>
          </cell>
          <cell r="D34">
            <v>156</v>
          </cell>
          <cell r="E34">
            <v>179</v>
          </cell>
          <cell r="F34">
            <v>169</v>
          </cell>
          <cell r="G34">
            <v>165</v>
          </cell>
          <cell r="H34">
            <v>198</v>
          </cell>
          <cell r="I34">
            <v>61</v>
          </cell>
          <cell r="J34">
            <v>199</v>
          </cell>
          <cell r="K34">
            <v>59</v>
          </cell>
          <cell r="L34">
            <v>401</v>
          </cell>
          <cell r="M34">
            <v>303</v>
          </cell>
          <cell r="N34">
            <v>629</v>
          </cell>
          <cell r="O34">
            <v>77</v>
          </cell>
        </row>
        <row r="35">
          <cell r="B35" t="str">
            <v>KS</v>
          </cell>
          <cell r="C35" t="str">
            <v>FPD</v>
          </cell>
          <cell r="D35">
            <v>265</v>
          </cell>
          <cell r="E35">
            <v>418</v>
          </cell>
          <cell r="F35">
            <v>445</v>
          </cell>
          <cell r="G35">
            <v>245</v>
          </cell>
          <cell r="H35">
            <v>208</v>
          </cell>
          <cell r="I35">
            <v>56</v>
          </cell>
          <cell r="J35">
            <v>165</v>
          </cell>
          <cell r="K35">
            <v>99</v>
          </cell>
          <cell r="L35">
            <v>207</v>
          </cell>
          <cell r="M35">
            <v>408</v>
          </cell>
          <cell r="N35">
            <v>507</v>
          </cell>
          <cell r="O35">
            <v>104</v>
          </cell>
        </row>
        <row r="36">
          <cell r="B36" t="str">
            <v>KY, W</v>
          </cell>
          <cell r="C36" t="str">
            <v>CDO</v>
          </cell>
          <cell r="D36">
            <v>112</v>
          </cell>
          <cell r="E36">
            <v>201</v>
          </cell>
          <cell r="F36">
            <v>193</v>
          </cell>
          <cell r="G36">
            <v>120</v>
          </cell>
          <cell r="H36">
            <v>15</v>
          </cell>
          <cell r="I36">
            <v>12</v>
          </cell>
          <cell r="J36">
            <v>19</v>
          </cell>
          <cell r="K36">
            <v>8</v>
          </cell>
          <cell r="L36">
            <v>24</v>
          </cell>
          <cell r="M36">
            <v>105</v>
          </cell>
          <cell r="N36">
            <v>106</v>
          </cell>
          <cell r="O36">
            <v>23</v>
          </cell>
        </row>
        <row r="37">
          <cell r="B37" t="str">
            <v>LA, E</v>
          </cell>
          <cell r="C37" t="str">
            <v>FPD</v>
          </cell>
          <cell r="D37">
            <v>117</v>
          </cell>
          <cell r="E37">
            <v>160</v>
          </cell>
          <cell r="F37">
            <v>165</v>
          </cell>
          <cell r="G37">
            <v>112</v>
          </cell>
          <cell r="H37">
            <v>69</v>
          </cell>
          <cell r="I37">
            <v>33</v>
          </cell>
          <cell r="J37">
            <v>81</v>
          </cell>
          <cell r="K37">
            <v>21</v>
          </cell>
          <cell r="L37">
            <v>124</v>
          </cell>
          <cell r="M37">
            <v>201</v>
          </cell>
          <cell r="N37">
            <v>169</v>
          </cell>
          <cell r="O37">
            <v>156</v>
          </cell>
        </row>
        <row r="38">
          <cell r="B38" t="str">
            <v>TOT: LA, M/W</v>
          </cell>
          <cell r="C38" t="str">
            <v>FPD</v>
          </cell>
          <cell r="D38">
            <v>176</v>
          </cell>
          <cell r="E38">
            <v>280</v>
          </cell>
          <cell r="F38">
            <v>257</v>
          </cell>
          <cell r="G38">
            <v>198</v>
          </cell>
          <cell r="H38">
            <v>148</v>
          </cell>
          <cell r="I38">
            <v>56</v>
          </cell>
          <cell r="J38">
            <v>60</v>
          </cell>
          <cell r="K38">
            <v>144</v>
          </cell>
          <cell r="L38">
            <v>433</v>
          </cell>
          <cell r="M38">
            <v>165</v>
          </cell>
          <cell r="N38">
            <v>386</v>
          </cell>
          <cell r="O38">
            <v>210</v>
          </cell>
        </row>
        <row r="39">
          <cell r="B39" t="str">
            <v xml:space="preserve">   LA, M</v>
          </cell>
          <cell r="C39" t="str">
            <v>FPD</v>
          </cell>
          <cell r="D39">
            <v>55</v>
          </cell>
          <cell r="E39">
            <v>92</v>
          </cell>
          <cell r="F39">
            <v>94</v>
          </cell>
          <cell r="G39">
            <v>52</v>
          </cell>
          <cell r="H39">
            <v>25</v>
          </cell>
          <cell r="I39">
            <v>7</v>
          </cell>
          <cell r="J39">
            <v>9</v>
          </cell>
          <cell r="K39">
            <v>23</v>
          </cell>
          <cell r="L39">
            <v>78</v>
          </cell>
          <cell r="M39">
            <v>35</v>
          </cell>
          <cell r="N39">
            <v>91</v>
          </cell>
          <cell r="O39">
            <v>21</v>
          </cell>
        </row>
        <row r="40">
          <cell r="B40" t="str">
            <v xml:space="preserve">   LA, W</v>
          </cell>
          <cell r="C40" t="str">
            <v>FPD</v>
          </cell>
          <cell r="D40">
            <v>121</v>
          </cell>
          <cell r="E40">
            <v>188</v>
          </cell>
          <cell r="F40">
            <v>163</v>
          </cell>
          <cell r="G40">
            <v>146</v>
          </cell>
          <cell r="H40">
            <v>123</v>
          </cell>
          <cell r="I40">
            <v>49</v>
          </cell>
          <cell r="J40">
            <v>51</v>
          </cell>
          <cell r="K40">
            <v>121</v>
          </cell>
          <cell r="L40">
            <v>355</v>
          </cell>
          <cell r="M40">
            <v>130</v>
          </cell>
          <cell r="N40">
            <v>295</v>
          </cell>
          <cell r="O40">
            <v>189</v>
          </cell>
        </row>
        <row r="41">
          <cell r="B41" t="str">
            <v>TOT: MA/NH/RI</v>
          </cell>
          <cell r="C41" t="str">
            <v>FPD</v>
          </cell>
          <cell r="D41">
            <v>319</v>
          </cell>
          <cell r="E41">
            <v>420</v>
          </cell>
          <cell r="F41">
            <v>442</v>
          </cell>
          <cell r="G41">
            <v>301</v>
          </cell>
          <cell r="H41">
            <v>267</v>
          </cell>
          <cell r="I41">
            <v>75</v>
          </cell>
          <cell r="J41">
            <v>200</v>
          </cell>
          <cell r="K41">
            <v>138</v>
          </cell>
          <cell r="L41">
            <v>218</v>
          </cell>
          <cell r="M41">
            <v>411</v>
          </cell>
          <cell r="N41">
            <v>420</v>
          </cell>
          <cell r="O41">
            <v>203</v>
          </cell>
        </row>
        <row r="42">
          <cell r="B42" t="str">
            <v xml:space="preserve">   MA</v>
          </cell>
          <cell r="C42" t="str">
            <v>FPD</v>
          </cell>
          <cell r="D42">
            <v>165</v>
          </cell>
          <cell r="E42">
            <v>222</v>
          </cell>
          <cell r="F42">
            <v>218</v>
          </cell>
          <cell r="G42">
            <v>167</v>
          </cell>
          <cell r="H42">
            <v>131</v>
          </cell>
          <cell r="I42">
            <v>39</v>
          </cell>
          <cell r="J42">
            <v>66</v>
          </cell>
          <cell r="K42">
            <v>100</v>
          </cell>
          <cell r="L42">
            <v>152</v>
          </cell>
          <cell r="M42">
            <v>246</v>
          </cell>
          <cell r="N42">
            <v>243</v>
          </cell>
          <cell r="O42">
            <v>156</v>
          </cell>
        </row>
        <row r="43">
          <cell r="B43" t="str">
            <v xml:space="preserve">   NH</v>
          </cell>
          <cell r="C43" t="str">
            <v>FPD</v>
          </cell>
          <cell r="D43">
            <v>88</v>
          </cell>
          <cell r="E43">
            <v>137</v>
          </cell>
          <cell r="F43">
            <v>158</v>
          </cell>
          <cell r="G43">
            <v>72</v>
          </cell>
          <cell r="H43">
            <v>47</v>
          </cell>
          <cell r="I43">
            <v>19</v>
          </cell>
          <cell r="J43">
            <v>47</v>
          </cell>
          <cell r="K43">
            <v>19</v>
          </cell>
          <cell r="L43">
            <v>36</v>
          </cell>
          <cell r="M43">
            <v>76</v>
          </cell>
          <cell r="N43">
            <v>78</v>
          </cell>
          <cell r="O43">
            <v>27</v>
          </cell>
        </row>
        <row r="44">
          <cell r="B44" t="str">
            <v xml:space="preserve">   RI</v>
          </cell>
          <cell r="C44" t="str">
            <v>FPD</v>
          </cell>
          <cell r="D44">
            <v>66</v>
          </cell>
          <cell r="E44">
            <v>61</v>
          </cell>
          <cell r="F44">
            <v>66</v>
          </cell>
          <cell r="G44">
            <v>62</v>
          </cell>
          <cell r="H44">
            <v>89</v>
          </cell>
          <cell r="I44">
            <v>17</v>
          </cell>
          <cell r="J44">
            <v>87</v>
          </cell>
          <cell r="K44">
            <v>19</v>
          </cell>
          <cell r="L44">
            <v>30</v>
          </cell>
          <cell r="M44">
            <v>89</v>
          </cell>
          <cell r="N44">
            <v>99</v>
          </cell>
          <cell r="O44">
            <v>20</v>
          </cell>
        </row>
        <row r="45">
          <cell r="B45" t="str">
            <v>MD</v>
          </cell>
          <cell r="C45" t="str">
            <v>FPD</v>
          </cell>
          <cell r="D45">
            <v>436</v>
          </cell>
          <cell r="E45">
            <v>1008</v>
          </cell>
          <cell r="F45">
            <v>1008</v>
          </cell>
          <cell r="G45">
            <v>433</v>
          </cell>
          <cell r="H45">
            <v>585</v>
          </cell>
          <cell r="I45">
            <v>39</v>
          </cell>
          <cell r="J45">
            <v>131</v>
          </cell>
          <cell r="K45">
            <v>486</v>
          </cell>
          <cell r="L45">
            <v>1669</v>
          </cell>
          <cell r="M45">
            <v>403</v>
          </cell>
          <cell r="N45">
            <v>1656</v>
          </cell>
          <cell r="O45">
            <v>416</v>
          </cell>
        </row>
        <row r="46">
          <cell r="B46" t="str">
            <v>ME</v>
          </cell>
          <cell r="C46" t="str">
            <v>FPD</v>
          </cell>
          <cell r="D46">
            <v>32</v>
          </cell>
          <cell r="E46">
            <v>48</v>
          </cell>
          <cell r="F46">
            <v>46</v>
          </cell>
          <cell r="G46">
            <v>34</v>
          </cell>
          <cell r="H46">
            <v>59</v>
          </cell>
          <cell r="I46">
            <v>12</v>
          </cell>
          <cell r="J46">
            <v>45</v>
          </cell>
          <cell r="K46">
            <v>27</v>
          </cell>
          <cell r="L46">
            <v>35</v>
          </cell>
          <cell r="M46">
            <v>50</v>
          </cell>
          <cell r="N46">
            <v>60</v>
          </cell>
          <cell r="O46">
            <v>25</v>
          </cell>
        </row>
        <row r="47">
          <cell r="B47" t="str">
            <v>MI, E</v>
          </cell>
          <cell r="C47" t="str">
            <v>CDO</v>
          </cell>
          <cell r="D47">
            <v>341</v>
          </cell>
          <cell r="E47">
            <v>550</v>
          </cell>
          <cell r="F47">
            <v>534</v>
          </cell>
          <cell r="G47">
            <v>357</v>
          </cell>
          <cell r="H47">
            <v>184</v>
          </cell>
          <cell r="I47">
            <v>37</v>
          </cell>
          <cell r="J47">
            <v>157</v>
          </cell>
          <cell r="K47">
            <v>65</v>
          </cell>
          <cell r="L47">
            <v>189</v>
          </cell>
          <cell r="M47">
            <v>592</v>
          </cell>
          <cell r="N47">
            <v>563</v>
          </cell>
          <cell r="O47">
            <v>218</v>
          </cell>
        </row>
        <row r="48">
          <cell r="B48" t="str">
            <v>MI, W</v>
          </cell>
          <cell r="C48" t="str">
            <v>FPD</v>
          </cell>
          <cell r="D48">
            <v>96</v>
          </cell>
          <cell r="E48">
            <v>195</v>
          </cell>
          <cell r="F48">
            <v>200</v>
          </cell>
          <cell r="G48">
            <v>91</v>
          </cell>
          <cell r="H48">
            <v>87</v>
          </cell>
          <cell r="I48">
            <v>82</v>
          </cell>
          <cell r="J48">
            <v>112</v>
          </cell>
          <cell r="K48">
            <v>58</v>
          </cell>
          <cell r="L48">
            <v>84</v>
          </cell>
          <cell r="M48">
            <v>78</v>
          </cell>
          <cell r="N48">
            <v>124</v>
          </cell>
          <cell r="O48">
            <v>37</v>
          </cell>
        </row>
        <row r="49">
          <cell r="B49" t="str">
            <v>MN</v>
          </cell>
          <cell r="C49" t="str">
            <v>FPD</v>
          </cell>
          <cell r="D49">
            <v>148</v>
          </cell>
          <cell r="E49">
            <v>184</v>
          </cell>
          <cell r="F49">
            <v>202</v>
          </cell>
          <cell r="G49">
            <v>130</v>
          </cell>
          <cell r="H49">
            <v>113</v>
          </cell>
          <cell r="I49">
            <v>70</v>
          </cell>
          <cell r="J49">
            <v>52</v>
          </cell>
          <cell r="K49">
            <v>131</v>
          </cell>
          <cell r="L49">
            <v>220</v>
          </cell>
          <cell r="M49">
            <v>594</v>
          </cell>
          <cell r="N49">
            <v>671</v>
          </cell>
          <cell r="O49">
            <v>143</v>
          </cell>
        </row>
        <row r="50">
          <cell r="B50" t="str">
            <v>MO, E</v>
          </cell>
          <cell r="C50" t="str">
            <v>FPD</v>
          </cell>
          <cell r="D50">
            <v>590</v>
          </cell>
          <cell r="E50">
            <v>555</v>
          </cell>
          <cell r="F50">
            <v>507</v>
          </cell>
          <cell r="G50">
            <v>636</v>
          </cell>
          <cell r="H50">
            <v>234</v>
          </cell>
          <cell r="I50">
            <v>106</v>
          </cell>
          <cell r="J50">
            <v>138</v>
          </cell>
          <cell r="K50">
            <v>202</v>
          </cell>
          <cell r="L50">
            <v>851</v>
          </cell>
          <cell r="M50">
            <v>1384</v>
          </cell>
          <cell r="N50">
            <v>1738</v>
          </cell>
          <cell r="O50">
            <v>498</v>
          </cell>
        </row>
        <row r="51">
          <cell r="B51" t="str">
            <v>MO, W</v>
          </cell>
          <cell r="C51" t="str">
            <v>FPD</v>
          </cell>
          <cell r="D51">
            <v>464</v>
          </cell>
          <cell r="E51">
            <v>525</v>
          </cell>
          <cell r="F51">
            <v>476</v>
          </cell>
          <cell r="G51">
            <v>516</v>
          </cell>
          <cell r="H51">
            <v>248</v>
          </cell>
          <cell r="I51">
            <v>110</v>
          </cell>
          <cell r="J51">
            <v>183</v>
          </cell>
          <cell r="K51">
            <v>174</v>
          </cell>
          <cell r="L51">
            <v>1208</v>
          </cell>
          <cell r="M51">
            <v>497</v>
          </cell>
          <cell r="N51">
            <v>1288</v>
          </cell>
          <cell r="O51">
            <v>408</v>
          </cell>
        </row>
        <row r="52">
          <cell r="B52" t="str">
            <v>TOT: MS, N/S</v>
          </cell>
          <cell r="C52" t="str">
            <v>FPD</v>
          </cell>
          <cell r="D52">
            <v>147</v>
          </cell>
          <cell r="E52">
            <v>325</v>
          </cell>
          <cell r="F52">
            <v>293</v>
          </cell>
          <cell r="G52">
            <v>179</v>
          </cell>
          <cell r="H52">
            <v>137</v>
          </cell>
          <cell r="I52">
            <v>59</v>
          </cell>
          <cell r="J52">
            <v>100</v>
          </cell>
          <cell r="K52">
            <v>96</v>
          </cell>
          <cell r="L52">
            <v>97</v>
          </cell>
          <cell r="M52">
            <v>406</v>
          </cell>
          <cell r="N52">
            <v>439</v>
          </cell>
          <cell r="O52">
            <v>64</v>
          </cell>
        </row>
        <row r="53">
          <cell r="B53" t="str">
            <v xml:space="preserve">   MS, N</v>
          </cell>
          <cell r="C53" t="str">
            <v>FPD</v>
          </cell>
          <cell r="D53">
            <v>70</v>
          </cell>
          <cell r="E53">
            <v>117</v>
          </cell>
          <cell r="F53">
            <v>106</v>
          </cell>
          <cell r="G53">
            <v>81</v>
          </cell>
          <cell r="H53">
            <v>55</v>
          </cell>
          <cell r="I53">
            <v>13</v>
          </cell>
          <cell r="J53">
            <v>18</v>
          </cell>
          <cell r="K53">
            <v>50</v>
          </cell>
          <cell r="L53">
            <v>24</v>
          </cell>
          <cell r="M53">
            <v>153</v>
          </cell>
          <cell r="N53">
            <v>155</v>
          </cell>
          <cell r="O53">
            <v>22</v>
          </cell>
        </row>
        <row r="54">
          <cell r="B54" t="str">
            <v xml:space="preserve">   MS, S</v>
          </cell>
          <cell r="C54" t="str">
            <v>FPD</v>
          </cell>
          <cell r="D54">
            <v>77</v>
          </cell>
          <cell r="E54">
            <v>208</v>
          </cell>
          <cell r="F54">
            <v>187</v>
          </cell>
          <cell r="G54">
            <v>98</v>
          </cell>
          <cell r="H54">
            <v>82</v>
          </cell>
          <cell r="I54">
            <v>46</v>
          </cell>
          <cell r="J54">
            <v>82</v>
          </cell>
          <cell r="K54">
            <v>46</v>
          </cell>
          <cell r="L54">
            <v>73</v>
          </cell>
          <cell r="M54">
            <v>253</v>
          </cell>
          <cell r="N54">
            <v>284</v>
          </cell>
          <cell r="O54">
            <v>42</v>
          </cell>
        </row>
        <row r="55">
          <cell r="B55" t="str">
            <v>MT</v>
          </cell>
          <cell r="C55" t="str">
            <v>CDO</v>
          </cell>
          <cell r="D55">
            <v>103</v>
          </cell>
          <cell r="E55">
            <v>248</v>
          </cell>
          <cell r="F55">
            <v>207</v>
          </cell>
          <cell r="G55">
            <v>145</v>
          </cell>
          <cell r="H55">
            <v>128</v>
          </cell>
          <cell r="I55">
            <v>38</v>
          </cell>
          <cell r="J55">
            <v>96</v>
          </cell>
          <cell r="K55">
            <v>70</v>
          </cell>
          <cell r="L55">
            <v>64</v>
          </cell>
          <cell r="M55">
            <v>496</v>
          </cell>
          <cell r="N55">
            <v>491</v>
          </cell>
          <cell r="O55">
            <v>69</v>
          </cell>
        </row>
        <row r="56">
          <cell r="B56" t="str">
            <v>NC, E</v>
          </cell>
          <cell r="C56" t="str">
            <v>FPD</v>
          </cell>
          <cell r="D56">
            <v>434</v>
          </cell>
          <cell r="E56">
            <v>817</v>
          </cell>
          <cell r="F56">
            <v>712</v>
          </cell>
          <cell r="G56">
            <v>536</v>
          </cell>
          <cell r="H56">
            <v>427</v>
          </cell>
          <cell r="I56">
            <v>130</v>
          </cell>
          <cell r="J56">
            <v>127</v>
          </cell>
          <cell r="K56">
            <v>431</v>
          </cell>
          <cell r="L56">
            <v>2007</v>
          </cell>
          <cell r="M56">
            <v>861</v>
          </cell>
          <cell r="N56">
            <v>1383</v>
          </cell>
          <cell r="O56">
            <v>1480</v>
          </cell>
        </row>
        <row r="57">
          <cell r="B57" t="str">
            <v>NC, M</v>
          </cell>
          <cell r="C57" t="str">
            <v>FPD</v>
          </cell>
          <cell r="D57">
            <v>191</v>
          </cell>
          <cell r="E57">
            <v>237</v>
          </cell>
          <cell r="F57">
            <v>212</v>
          </cell>
          <cell r="G57">
            <v>217</v>
          </cell>
          <cell r="H57">
            <v>544</v>
          </cell>
          <cell r="I57">
            <v>51</v>
          </cell>
          <cell r="J57">
            <v>265</v>
          </cell>
          <cell r="K57">
            <v>330</v>
          </cell>
          <cell r="L57">
            <v>245</v>
          </cell>
          <cell r="M57">
            <v>136</v>
          </cell>
          <cell r="N57">
            <v>228</v>
          </cell>
          <cell r="O57">
            <v>151</v>
          </cell>
        </row>
        <row r="58">
          <cell r="B58" t="str">
            <v>NC, W</v>
          </cell>
          <cell r="C58" t="str">
            <v>FPD</v>
          </cell>
          <cell r="D58">
            <v>178</v>
          </cell>
          <cell r="E58">
            <v>336</v>
          </cell>
          <cell r="F58">
            <v>285</v>
          </cell>
          <cell r="G58">
            <v>237</v>
          </cell>
          <cell r="H58">
            <v>326</v>
          </cell>
          <cell r="I58">
            <v>45</v>
          </cell>
          <cell r="J58">
            <v>154</v>
          </cell>
          <cell r="K58">
            <v>212</v>
          </cell>
          <cell r="L58">
            <v>841</v>
          </cell>
          <cell r="M58">
            <v>736</v>
          </cell>
          <cell r="N58">
            <v>1327</v>
          </cell>
          <cell r="O58">
            <v>244</v>
          </cell>
        </row>
        <row r="59">
          <cell r="B59" t="str">
            <v>NE</v>
          </cell>
          <cell r="C59" t="str">
            <v>FPD</v>
          </cell>
          <cell r="D59">
            <v>189</v>
          </cell>
          <cell r="E59">
            <v>399</v>
          </cell>
          <cell r="F59">
            <v>389</v>
          </cell>
          <cell r="G59">
            <v>197</v>
          </cell>
          <cell r="H59">
            <v>75</v>
          </cell>
          <cell r="I59">
            <v>29</v>
          </cell>
          <cell r="J59">
            <v>67</v>
          </cell>
          <cell r="K59">
            <v>37</v>
          </cell>
          <cell r="L59">
            <v>139</v>
          </cell>
          <cell r="M59">
            <v>259</v>
          </cell>
          <cell r="N59">
            <v>246</v>
          </cell>
          <cell r="O59">
            <v>153</v>
          </cell>
        </row>
        <row r="60">
          <cell r="B60" t="str">
            <v>NJ</v>
          </cell>
          <cell r="C60" t="str">
            <v>FPD</v>
          </cell>
          <cell r="D60">
            <v>339</v>
          </cell>
          <cell r="E60">
            <v>710</v>
          </cell>
          <cell r="F60">
            <v>727</v>
          </cell>
          <cell r="G60">
            <v>324</v>
          </cell>
          <cell r="H60">
            <v>138</v>
          </cell>
          <cell r="I60">
            <v>55</v>
          </cell>
          <cell r="J60">
            <v>78</v>
          </cell>
          <cell r="K60">
            <v>115</v>
          </cell>
          <cell r="L60">
            <v>291</v>
          </cell>
          <cell r="M60">
            <v>387</v>
          </cell>
          <cell r="N60">
            <v>441</v>
          </cell>
          <cell r="O60">
            <v>238</v>
          </cell>
        </row>
        <row r="61">
          <cell r="B61" t="str">
            <v>NM</v>
          </cell>
          <cell r="C61" t="str">
            <v>FPD</v>
          </cell>
          <cell r="D61">
            <v>938</v>
          </cell>
          <cell r="E61">
            <v>2870</v>
          </cell>
          <cell r="F61">
            <v>2861</v>
          </cell>
          <cell r="G61">
            <v>947</v>
          </cell>
          <cell r="H61">
            <v>116</v>
          </cell>
          <cell r="I61">
            <v>56</v>
          </cell>
          <cell r="J61">
            <v>93</v>
          </cell>
          <cell r="K61">
            <v>79</v>
          </cell>
          <cell r="L61">
            <v>210</v>
          </cell>
          <cell r="M61">
            <v>2986</v>
          </cell>
          <cell r="N61">
            <v>3037</v>
          </cell>
          <cell r="O61">
            <v>159</v>
          </cell>
        </row>
        <row r="62">
          <cell r="B62" t="str">
            <v>NV</v>
          </cell>
          <cell r="C62" t="str">
            <v>FPD</v>
          </cell>
          <cell r="D62">
            <v>390</v>
          </cell>
          <cell r="E62">
            <v>533</v>
          </cell>
          <cell r="F62">
            <v>543</v>
          </cell>
          <cell r="G62">
            <v>381</v>
          </cell>
          <cell r="H62">
            <v>304</v>
          </cell>
          <cell r="I62">
            <v>126</v>
          </cell>
          <cell r="J62">
            <v>141</v>
          </cell>
          <cell r="K62">
            <v>281</v>
          </cell>
          <cell r="L62">
            <v>649</v>
          </cell>
          <cell r="M62">
            <v>373</v>
          </cell>
          <cell r="N62">
            <v>668</v>
          </cell>
          <cell r="O62">
            <v>331</v>
          </cell>
        </row>
        <row r="63">
          <cell r="B63" t="str">
            <v>NY, N</v>
          </cell>
          <cell r="C63" t="str">
            <v>FPD</v>
          </cell>
          <cell r="D63">
            <v>159</v>
          </cell>
          <cell r="E63">
            <v>237</v>
          </cell>
          <cell r="F63">
            <v>236</v>
          </cell>
          <cell r="G63">
            <v>158</v>
          </cell>
          <cell r="H63">
            <v>80</v>
          </cell>
          <cell r="I63">
            <v>37</v>
          </cell>
          <cell r="J63">
            <v>54</v>
          </cell>
          <cell r="K63">
            <v>63</v>
          </cell>
          <cell r="L63">
            <v>64</v>
          </cell>
          <cell r="M63">
            <v>205</v>
          </cell>
          <cell r="N63">
            <v>210</v>
          </cell>
          <cell r="O63">
            <v>59</v>
          </cell>
        </row>
        <row r="64">
          <cell r="B64" t="str">
            <v>TOT: NY, S/E/A</v>
          </cell>
          <cell r="C64" t="str">
            <v>CDO</v>
          </cell>
          <cell r="D64">
            <v>949</v>
          </cell>
          <cell r="E64">
            <v>862</v>
          </cell>
          <cell r="F64">
            <v>867</v>
          </cell>
          <cell r="G64">
            <v>937</v>
          </cell>
          <cell r="H64">
            <v>631</v>
          </cell>
          <cell r="I64">
            <v>122</v>
          </cell>
          <cell r="J64">
            <v>177</v>
          </cell>
          <cell r="K64">
            <v>570</v>
          </cell>
          <cell r="L64">
            <v>579</v>
          </cell>
          <cell r="M64">
            <v>1027</v>
          </cell>
          <cell r="N64">
            <v>952</v>
          </cell>
          <cell r="O64">
            <v>657</v>
          </cell>
        </row>
        <row r="65">
          <cell r="B65" t="str">
            <v xml:space="preserve">   NY, S</v>
          </cell>
          <cell r="C65" t="str">
            <v>CDO</v>
          </cell>
          <cell r="D65">
            <v>390</v>
          </cell>
          <cell r="E65">
            <v>486</v>
          </cell>
          <cell r="F65">
            <v>475</v>
          </cell>
          <cell r="G65">
            <v>395</v>
          </cell>
          <cell r="H65">
            <v>203</v>
          </cell>
          <cell r="I65">
            <v>11</v>
          </cell>
          <cell r="J65">
            <v>32</v>
          </cell>
          <cell r="K65">
            <v>181</v>
          </cell>
          <cell r="L65">
            <v>240</v>
          </cell>
          <cell r="M65">
            <v>501</v>
          </cell>
          <cell r="N65">
            <v>420</v>
          </cell>
          <cell r="O65">
            <v>319</v>
          </cell>
        </row>
        <row r="66">
          <cell r="B66" t="str">
            <v xml:space="preserve">   NY, E</v>
          </cell>
          <cell r="C66" t="str">
            <v>CDO</v>
          </cell>
          <cell r="D66">
            <v>559</v>
          </cell>
          <cell r="E66">
            <v>376</v>
          </cell>
          <cell r="F66">
            <v>392</v>
          </cell>
          <cell r="G66">
            <v>542</v>
          </cell>
          <cell r="H66">
            <v>173</v>
          </cell>
          <cell r="I66">
            <v>6</v>
          </cell>
          <cell r="J66">
            <v>24</v>
          </cell>
          <cell r="K66">
            <v>153</v>
          </cell>
          <cell r="L66">
            <v>330</v>
          </cell>
          <cell r="M66">
            <v>461</v>
          </cell>
          <cell r="N66">
            <v>466</v>
          </cell>
          <cell r="O66">
            <v>329</v>
          </cell>
        </row>
        <row r="67">
          <cell r="B67" t="str">
            <v xml:space="preserve">   NY, A</v>
          </cell>
          <cell r="C67" t="str">
            <v>CDO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255</v>
          </cell>
          <cell r="I67">
            <v>105</v>
          </cell>
          <cell r="J67">
            <v>121</v>
          </cell>
          <cell r="K67">
            <v>236</v>
          </cell>
          <cell r="L67">
            <v>9</v>
          </cell>
          <cell r="M67">
            <v>65</v>
          </cell>
          <cell r="N67">
            <v>66</v>
          </cell>
          <cell r="O67">
            <v>9</v>
          </cell>
        </row>
        <row r="68">
          <cell r="B68" t="str">
            <v>NY, W</v>
          </cell>
          <cell r="C68" t="str">
            <v>FPD</v>
          </cell>
          <cell r="D68">
            <v>231</v>
          </cell>
          <cell r="E68">
            <v>287</v>
          </cell>
          <cell r="F68">
            <v>290</v>
          </cell>
          <cell r="G68">
            <v>228</v>
          </cell>
          <cell r="H68">
            <v>90</v>
          </cell>
          <cell r="I68">
            <v>25</v>
          </cell>
          <cell r="J68">
            <v>82</v>
          </cell>
          <cell r="K68">
            <v>33</v>
          </cell>
          <cell r="L68">
            <v>100</v>
          </cell>
          <cell r="M68">
            <v>334</v>
          </cell>
          <cell r="N68">
            <v>336</v>
          </cell>
          <cell r="O68">
            <v>98</v>
          </cell>
        </row>
        <row r="69">
          <cell r="B69" t="str">
            <v>OH, N</v>
          </cell>
          <cell r="C69" t="str">
            <v>FPD</v>
          </cell>
          <cell r="D69">
            <v>128</v>
          </cell>
          <cell r="E69">
            <v>230</v>
          </cell>
          <cell r="F69">
            <v>222</v>
          </cell>
          <cell r="G69">
            <v>138</v>
          </cell>
          <cell r="H69">
            <v>155</v>
          </cell>
          <cell r="I69">
            <v>94</v>
          </cell>
          <cell r="J69">
            <v>171</v>
          </cell>
          <cell r="K69">
            <v>78</v>
          </cell>
          <cell r="L69">
            <v>194</v>
          </cell>
          <cell r="M69">
            <v>317</v>
          </cell>
          <cell r="N69">
            <v>364</v>
          </cell>
          <cell r="O69">
            <v>145</v>
          </cell>
        </row>
        <row r="70">
          <cell r="B70" t="str">
            <v>OH, S</v>
          </cell>
          <cell r="C70" t="str">
            <v>FPD</v>
          </cell>
          <cell r="D70">
            <v>262</v>
          </cell>
          <cell r="E70">
            <v>474</v>
          </cell>
          <cell r="F70">
            <v>437</v>
          </cell>
          <cell r="G70">
            <v>298</v>
          </cell>
          <cell r="H70">
            <v>80</v>
          </cell>
          <cell r="I70">
            <v>54</v>
          </cell>
          <cell r="J70">
            <v>88</v>
          </cell>
          <cell r="K70">
            <v>46</v>
          </cell>
          <cell r="L70">
            <v>167</v>
          </cell>
          <cell r="M70">
            <v>214</v>
          </cell>
          <cell r="N70">
            <v>203</v>
          </cell>
          <cell r="O70">
            <v>178</v>
          </cell>
        </row>
        <row r="71">
          <cell r="B71" t="str">
            <v>TOT: OK, N/E</v>
          </cell>
          <cell r="C71" t="str">
            <v>FPD</v>
          </cell>
          <cell r="D71">
            <v>99</v>
          </cell>
          <cell r="E71">
            <v>157</v>
          </cell>
          <cell r="F71">
            <v>181</v>
          </cell>
          <cell r="G71">
            <v>75</v>
          </cell>
          <cell r="H71">
            <v>47</v>
          </cell>
          <cell r="I71">
            <v>26</v>
          </cell>
          <cell r="J71">
            <v>36</v>
          </cell>
          <cell r="K71">
            <v>37</v>
          </cell>
          <cell r="L71">
            <v>134</v>
          </cell>
          <cell r="M71">
            <v>186</v>
          </cell>
          <cell r="N71">
            <v>273</v>
          </cell>
          <cell r="O71">
            <v>47</v>
          </cell>
        </row>
        <row r="72">
          <cell r="B72" t="str">
            <v xml:space="preserve">   OK, E</v>
          </cell>
          <cell r="C72" t="str">
            <v>FPD</v>
          </cell>
          <cell r="D72">
            <v>37</v>
          </cell>
          <cell r="E72">
            <v>59</v>
          </cell>
          <cell r="F72">
            <v>64</v>
          </cell>
          <cell r="G72">
            <v>32</v>
          </cell>
          <cell r="H72">
            <v>20</v>
          </cell>
          <cell r="I72">
            <v>15</v>
          </cell>
          <cell r="J72">
            <v>16</v>
          </cell>
          <cell r="K72">
            <v>19</v>
          </cell>
          <cell r="L72">
            <v>86</v>
          </cell>
          <cell r="M72">
            <v>60</v>
          </cell>
          <cell r="N72">
            <v>136</v>
          </cell>
          <cell r="O72">
            <v>10</v>
          </cell>
        </row>
        <row r="73">
          <cell r="B73" t="str">
            <v xml:space="preserve">   OK, N</v>
          </cell>
          <cell r="C73" t="str">
            <v>FPD</v>
          </cell>
          <cell r="D73">
            <v>62</v>
          </cell>
          <cell r="E73">
            <v>98</v>
          </cell>
          <cell r="F73">
            <v>117</v>
          </cell>
          <cell r="G73">
            <v>43</v>
          </cell>
          <cell r="H73">
            <v>27</v>
          </cell>
          <cell r="I73">
            <v>11</v>
          </cell>
          <cell r="J73">
            <v>20</v>
          </cell>
          <cell r="K73">
            <v>18</v>
          </cell>
          <cell r="L73">
            <v>48</v>
          </cell>
          <cell r="M73">
            <v>126</v>
          </cell>
          <cell r="N73">
            <v>137</v>
          </cell>
          <cell r="O73">
            <v>37</v>
          </cell>
        </row>
        <row r="74">
          <cell r="B74" t="str">
            <v>OK, W</v>
          </cell>
          <cell r="C74" t="str">
            <v>FPD</v>
          </cell>
          <cell r="D74">
            <v>112</v>
          </cell>
          <cell r="E74">
            <v>198</v>
          </cell>
          <cell r="F74">
            <v>197</v>
          </cell>
          <cell r="G74">
            <v>113</v>
          </cell>
          <cell r="H74">
            <v>64</v>
          </cell>
          <cell r="I74">
            <v>41</v>
          </cell>
          <cell r="J74">
            <v>55</v>
          </cell>
          <cell r="K74">
            <v>50</v>
          </cell>
          <cell r="L74">
            <v>221</v>
          </cell>
          <cell r="M74">
            <v>235</v>
          </cell>
          <cell r="N74">
            <v>270</v>
          </cell>
          <cell r="O74">
            <v>186</v>
          </cell>
        </row>
        <row r="75">
          <cell r="B75" t="str">
            <v>OR</v>
          </cell>
          <cell r="C75" t="str">
            <v>FPD</v>
          </cell>
          <cell r="D75">
            <v>375</v>
          </cell>
          <cell r="E75">
            <v>528</v>
          </cell>
          <cell r="F75">
            <v>469</v>
          </cell>
          <cell r="G75">
            <v>435</v>
          </cell>
          <cell r="H75">
            <v>309</v>
          </cell>
          <cell r="I75">
            <v>101</v>
          </cell>
          <cell r="J75">
            <v>213</v>
          </cell>
          <cell r="K75">
            <v>198</v>
          </cell>
          <cell r="L75">
            <v>1103</v>
          </cell>
          <cell r="M75">
            <v>960</v>
          </cell>
          <cell r="N75">
            <v>1429</v>
          </cell>
          <cell r="O75">
            <v>633</v>
          </cell>
        </row>
        <row r="76">
          <cell r="B76" t="str">
            <v>PA, E</v>
          </cell>
          <cell r="C76" t="str">
            <v>CDO</v>
          </cell>
          <cell r="D76">
            <v>243</v>
          </cell>
          <cell r="E76">
            <v>331</v>
          </cell>
          <cell r="F76">
            <v>313</v>
          </cell>
          <cell r="G76">
            <v>260</v>
          </cell>
          <cell r="H76">
            <v>682</v>
          </cell>
          <cell r="I76">
            <v>128</v>
          </cell>
          <cell r="J76">
            <v>234</v>
          </cell>
          <cell r="K76">
            <v>575</v>
          </cell>
          <cell r="L76">
            <v>636</v>
          </cell>
          <cell r="M76">
            <v>841</v>
          </cell>
          <cell r="N76">
            <v>904</v>
          </cell>
          <cell r="O76">
            <v>574</v>
          </cell>
        </row>
        <row r="77">
          <cell r="B77" t="str">
            <v>PA, M</v>
          </cell>
          <cell r="C77" t="str">
            <v>FPD</v>
          </cell>
          <cell r="D77">
            <v>166</v>
          </cell>
          <cell r="E77">
            <v>279</v>
          </cell>
          <cell r="F77">
            <v>272</v>
          </cell>
          <cell r="G77">
            <v>174</v>
          </cell>
          <cell r="H77">
            <v>237</v>
          </cell>
          <cell r="I77">
            <v>47</v>
          </cell>
          <cell r="J77">
            <v>172</v>
          </cell>
          <cell r="K77">
            <v>112</v>
          </cell>
          <cell r="L77">
            <v>217</v>
          </cell>
          <cell r="M77">
            <v>259</v>
          </cell>
          <cell r="N77">
            <v>297</v>
          </cell>
          <cell r="O77">
            <v>178</v>
          </cell>
        </row>
        <row r="78">
          <cell r="B78" t="str">
            <v>PA, W</v>
          </cell>
          <cell r="C78" t="str">
            <v>FPD</v>
          </cell>
          <cell r="D78">
            <v>258</v>
          </cell>
          <cell r="E78">
            <v>262</v>
          </cell>
          <cell r="F78">
            <v>184</v>
          </cell>
          <cell r="G78">
            <v>336</v>
          </cell>
          <cell r="H78">
            <v>219</v>
          </cell>
          <cell r="I78">
            <v>41</v>
          </cell>
          <cell r="J78">
            <v>151</v>
          </cell>
          <cell r="K78">
            <v>109</v>
          </cell>
          <cell r="L78">
            <v>1065</v>
          </cell>
          <cell r="M78">
            <v>360</v>
          </cell>
          <cell r="N78">
            <v>1033</v>
          </cell>
          <cell r="O78">
            <v>389</v>
          </cell>
        </row>
        <row r="79">
          <cell r="B79" t="str">
            <v>PR</v>
          </cell>
          <cell r="C79" t="str">
            <v>FPD</v>
          </cell>
          <cell r="D79">
            <v>420</v>
          </cell>
          <cell r="E79">
            <v>491</v>
          </cell>
          <cell r="F79">
            <v>433</v>
          </cell>
          <cell r="G79">
            <v>480</v>
          </cell>
          <cell r="H79">
            <v>44</v>
          </cell>
          <cell r="I79">
            <v>444</v>
          </cell>
          <cell r="J79">
            <v>140</v>
          </cell>
          <cell r="K79">
            <v>345</v>
          </cell>
          <cell r="L79">
            <v>320</v>
          </cell>
          <cell r="M79">
            <v>1785</v>
          </cell>
          <cell r="N79">
            <v>1865</v>
          </cell>
          <cell r="O79">
            <v>234</v>
          </cell>
        </row>
        <row r="80">
          <cell r="B80" t="str">
            <v>SC</v>
          </cell>
          <cell r="C80" t="str">
            <v>FPD</v>
          </cell>
          <cell r="D80">
            <v>385</v>
          </cell>
          <cell r="E80">
            <v>719</v>
          </cell>
          <cell r="F80">
            <v>588</v>
          </cell>
          <cell r="G80">
            <v>517</v>
          </cell>
          <cell r="H80">
            <v>359</v>
          </cell>
          <cell r="I80">
            <v>87</v>
          </cell>
          <cell r="J80">
            <v>206</v>
          </cell>
          <cell r="K80">
            <v>239</v>
          </cell>
          <cell r="L80">
            <v>246</v>
          </cell>
          <cell r="M80">
            <v>476</v>
          </cell>
          <cell r="N80">
            <v>523</v>
          </cell>
          <cell r="O80">
            <v>201</v>
          </cell>
        </row>
        <row r="81">
          <cell r="B81" t="str">
            <v>TOT: SD/ND</v>
          </cell>
          <cell r="C81" t="str">
            <v>FPD</v>
          </cell>
          <cell r="D81">
            <v>369</v>
          </cell>
          <cell r="E81">
            <v>592</v>
          </cell>
          <cell r="F81">
            <v>555</v>
          </cell>
          <cell r="G81">
            <v>409</v>
          </cell>
          <cell r="H81">
            <v>150</v>
          </cell>
          <cell r="I81">
            <v>54</v>
          </cell>
          <cell r="J81">
            <v>131</v>
          </cell>
          <cell r="K81">
            <v>74</v>
          </cell>
          <cell r="L81">
            <v>112</v>
          </cell>
          <cell r="M81">
            <v>636</v>
          </cell>
          <cell r="N81">
            <v>594</v>
          </cell>
          <cell r="O81">
            <v>142</v>
          </cell>
        </row>
        <row r="82">
          <cell r="B82" t="str">
            <v xml:space="preserve">   SD</v>
          </cell>
          <cell r="C82" t="str">
            <v>FPD</v>
          </cell>
          <cell r="D82">
            <v>245</v>
          </cell>
          <cell r="E82">
            <v>390</v>
          </cell>
          <cell r="F82">
            <v>376</v>
          </cell>
          <cell r="G82">
            <v>255</v>
          </cell>
          <cell r="H82">
            <v>17</v>
          </cell>
          <cell r="I82">
            <v>28</v>
          </cell>
          <cell r="J82">
            <v>23</v>
          </cell>
          <cell r="K82">
            <v>22</v>
          </cell>
          <cell r="L82">
            <v>85</v>
          </cell>
          <cell r="M82">
            <v>435</v>
          </cell>
          <cell r="N82">
            <v>403</v>
          </cell>
          <cell r="O82">
            <v>112</v>
          </cell>
        </row>
        <row r="83">
          <cell r="B83" t="str">
            <v xml:space="preserve">   ND</v>
          </cell>
          <cell r="C83" t="str">
            <v>FPD</v>
          </cell>
          <cell r="D83">
            <v>124</v>
          </cell>
          <cell r="E83">
            <v>202</v>
          </cell>
          <cell r="F83">
            <v>179</v>
          </cell>
          <cell r="G83">
            <v>154</v>
          </cell>
          <cell r="H83">
            <v>133</v>
          </cell>
          <cell r="I83">
            <v>26</v>
          </cell>
          <cell r="J83">
            <v>108</v>
          </cell>
          <cell r="K83">
            <v>52</v>
          </cell>
          <cell r="L83">
            <v>27</v>
          </cell>
          <cell r="M83">
            <v>201</v>
          </cell>
          <cell r="N83">
            <v>191</v>
          </cell>
          <cell r="O83">
            <v>30</v>
          </cell>
        </row>
        <row r="84">
          <cell r="B84" t="str">
            <v>TN, E</v>
          </cell>
          <cell r="C84" t="str">
            <v>CDO</v>
          </cell>
          <cell r="D84">
            <v>317</v>
          </cell>
          <cell r="E84">
            <v>500</v>
          </cell>
          <cell r="F84">
            <v>383</v>
          </cell>
          <cell r="G84">
            <v>446</v>
          </cell>
          <cell r="H84">
            <v>249</v>
          </cell>
          <cell r="I84">
            <v>71</v>
          </cell>
          <cell r="J84">
            <v>169</v>
          </cell>
          <cell r="K84">
            <v>151</v>
          </cell>
          <cell r="L84">
            <v>380</v>
          </cell>
          <cell r="M84">
            <v>668</v>
          </cell>
          <cell r="N84">
            <v>781</v>
          </cell>
          <cell r="O84">
            <v>255</v>
          </cell>
        </row>
        <row r="85">
          <cell r="B85" t="str">
            <v>TN, M</v>
          </cell>
          <cell r="C85" t="str">
            <v>FPD</v>
          </cell>
          <cell r="D85">
            <v>146</v>
          </cell>
          <cell r="E85">
            <v>231</v>
          </cell>
          <cell r="F85">
            <v>209</v>
          </cell>
          <cell r="G85">
            <v>167</v>
          </cell>
          <cell r="H85">
            <v>191</v>
          </cell>
          <cell r="I85">
            <v>42</v>
          </cell>
          <cell r="J85">
            <v>119</v>
          </cell>
          <cell r="K85">
            <v>112</v>
          </cell>
          <cell r="L85">
            <v>510</v>
          </cell>
          <cell r="M85">
            <v>239</v>
          </cell>
          <cell r="N85">
            <v>565</v>
          </cell>
          <cell r="O85">
            <v>187</v>
          </cell>
        </row>
        <row r="86">
          <cell r="B86" t="str">
            <v>TN, W</v>
          </cell>
          <cell r="C86" t="str">
            <v>FPD</v>
          </cell>
          <cell r="D86">
            <v>139</v>
          </cell>
          <cell r="E86">
            <v>266</v>
          </cell>
          <cell r="F86">
            <v>237</v>
          </cell>
          <cell r="G86">
            <v>168</v>
          </cell>
          <cell r="H86">
            <v>134</v>
          </cell>
          <cell r="I86">
            <v>65</v>
          </cell>
          <cell r="J86">
            <v>79</v>
          </cell>
          <cell r="K86">
            <v>122</v>
          </cell>
          <cell r="L86">
            <v>194</v>
          </cell>
          <cell r="M86">
            <v>266</v>
          </cell>
          <cell r="N86">
            <v>280</v>
          </cell>
          <cell r="O86">
            <v>178</v>
          </cell>
        </row>
        <row r="87">
          <cell r="B87" t="str">
            <v>TX, E</v>
          </cell>
          <cell r="C87" t="str">
            <v>FPD</v>
          </cell>
          <cell r="D87">
            <v>189</v>
          </cell>
          <cell r="E87">
            <v>326</v>
          </cell>
          <cell r="F87">
            <v>280</v>
          </cell>
          <cell r="G87">
            <v>232</v>
          </cell>
          <cell r="H87">
            <v>28</v>
          </cell>
          <cell r="I87">
            <v>16</v>
          </cell>
          <cell r="J87">
            <v>30</v>
          </cell>
          <cell r="K87">
            <v>14</v>
          </cell>
          <cell r="L87">
            <v>131</v>
          </cell>
          <cell r="M87">
            <v>251</v>
          </cell>
          <cell r="N87">
            <v>341</v>
          </cell>
          <cell r="O87">
            <v>41</v>
          </cell>
        </row>
        <row r="88">
          <cell r="B88" t="str">
            <v>TX, N</v>
          </cell>
          <cell r="C88" t="str">
            <v>FPD</v>
          </cell>
          <cell r="D88">
            <v>425</v>
          </cell>
          <cell r="E88">
            <v>765</v>
          </cell>
          <cell r="F88">
            <v>747</v>
          </cell>
          <cell r="G88">
            <v>440</v>
          </cell>
          <cell r="H88">
            <v>446</v>
          </cell>
          <cell r="I88">
            <v>278</v>
          </cell>
          <cell r="J88">
            <v>227</v>
          </cell>
          <cell r="K88">
            <v>496</v>
          </cell>
          <cell r="L88">
            <v>120</v>
          </cell>
          <cell r="M88">
            <v>441</v>
          </cell>
          <cell r="N88">
            <v>428</v>
          </cell>
          <cell r="O88">
            <v>135</v>
          </cell>
        </row>
        <row r="89">
          <cell r="B89" t="str">
            <v>TX, S</v>
          </cell>
          <cell r="C89" t="str">
            <v>FPD</v>
          </cell>
          <cell r="D89">
            <v>2392</v>
          </cell>
          <cell r="E89">
            <v>16336</v>
          </cell>
          <cell r="F89">
            <v>16930</v>
          </cell>
          <cell r="G89">
            <v>1798</v>
          </cell>
          <cell r="H89">
            <v>600</v>
          </cell>
          <cell r="I89">
            <v>396</v>
          </cell>
          <cell r="J89">
            <v>630</v>
          </cell>
          <cell r="K89">
            <v>365</v>
          </cell>
          <cell r="L89">
            <v>423</v>
          </cell>
          <cell r="M89">
            <v>1645</v>
          </cell>
          <cell r="N89">
            <v>1805</v>
          </cell>
          <cell r="O89">
            <v>263</v>
          </cell>
        </row>
        <row r="90">
          <cell r="B90" t="str">
            <v>TX, W</v>
          </cell>
          <cell r="C90" t="str">
            <v>FPD</v>
          </cell>
          <cell r="D90">
            <v>2498</v>
          </cell>
          <cell r="E90">
            <v>5807</v>
          </cell>
          <cell r="F90">
            <v>6160</v>
          </cell>
          <cell r="G90">
            <v>2145</v>
          </cell>
          <cell r="H90">
            <v>557</v>
          </cell>
          <cell r="I90">
            <v>295</v>
          </cell>
          <cell r="J90">
            <v>557</v>
          </cell>
          <cell r="K90">
            <v>295</v>
          </cell>
          <cell r="L90">
            <v>1016</v>
          </cell>
          <cell r="M90">
            <v>1356</v>
          </cell>
          <cell r="N90">
            <v>2016</v>
          </cell>
          <cell r="O90">
            <v>356</v>
          </cell>
        </row>
        <row r="91">
          <cell r="B91" t="str">
            <v>UT</v>
          </cell>
          <cell r="C91" t="str">
            <v>FPD</v>
          </cell>
          <cell r="D91">
            <v>368</v>
          </cell>
          <cell r="E91">
            <v>575</v>
          </cell>
          <cell r="F91">
            <v>461</v>
          </cell>
          <cell r="G91">
            <v>479</v>
          </cell>
          <cell r="H91">
            <v>213</v>
          </cell>
          <cell r="I91">
            <v>21</v>
          </cell>
          <cell r="J91">
            <v>98</v>
          </cell>
          <cell r="K91">
            <v>138</v>
          </cell>
          <cell r="L91">
            <v>211</v>
          </cell>
          <cell r="M91">
            <v>533</v>
          </cell>
          <cell r="N91">
            <v>437</v>
          </cell>
          <cell r="O91">
            <v>301</v>
          </cell>
        </row>
        <row r="92">
          <cell r="B92" t="str">
            <v>VA, E</v>
          </cell>
          <cell r="C92" t="str">
            <v>FPD</v>
          </cell>
          <cell r="D92">
            <v>321</v>
          </cell>
          <cell r="E92">
            <v>906</v>
          </cell>
          <cell r="F92">
            <v>908</v>
          </cell>
          <cell r="G92">
            <v>338</v>
          </cell>
          <cell r="H92">
            <v>367</v>
          </cell>
          <cell r="I92">
            <v>124</v>
          </cell>
          <cell r="J92">
            <v>233</v>
          </cell>
          <cell r="K92">
            <v>258</v>
          </cell>
          <cell r="L92">
            <v>538</v>
          </cell>
          <cell r="M92">
            <v>1069</v>
          </cell>
          <cell r="N92">
            <v>1049</v>
          </cell>
          <cell r="O92">
            <v>555</v>
          </cell>
        </row>
        <row r="93">
          <cell r="B93" t="str">
            <v>VA, W</v>
          </cell>
          <cell r="C93" t="str">
            <v>FPD</v>
          </cell>
          <cell r="D93">
            <v>113</v>
          </cell>
          <cell r="E93">
            <v>187</v>
          </cell>
          <cell r="F93">
            <v>208</v>
          </cell>
          <cell r="G93">
            <v>95</v>
          </cell>
          <cell r="H93">
            <v>191</v>
          </cell>
          <cell r="I93">
            <v>65</v>
          </cell>
          <cell r="J93">
            <v>158</v>
          </cell>
          <cell r="K93">
            <v>99</v>
          </cell>
          <cell r="L93">
            <v>126</v>
          </cell>
          <cell r="M93">
            <v>233</v>
          </cell>
          <cell r="N93">
            <v>262</v>
          </cell>
          <cell r="O93">
            <v>94</v>
          </cell>
        </row>
        <row r="94">
          <cell r="B94" t="str">
            <v>VI</v>
          </cell>
          <cell r="C94" t="str">
            <v>FPD</v>
          </cell>
          <cell r="D94">
            <v>34</v>
          </cell>
          <cell r="E94">
            <v>59</v>
          </cell>
          <cell r="F94">
            <v>39</v>
          </cell>
          <cell r="G94">
            <v>49</v>
          </cell>
          <cell r="H94">
            <v>21</v>
          </cell>
          <cell r="I94">
            <v>8</v>
          </cell>
          <cell r="J94">
            <v>8</v>
          </cell>
          <cell r="K94">
            <v>21</v>
          </cell>
          <cell r="L94">
            <v>21</v>
          </cell>
          <cell r="M94">
            <v>31</v>
          </cell>
          <cell r="N94">
            <v>23</v>
          </cell>
          <cell r="O94">
            <v>26</v>
          </cell>
        </row>
        <row r="95">
          <cell r="B95" t="str">
            <v>VT</v>
          </cell>
          <cell r="C95" t="str">
            <v>FPD</v>
          </cell>
          <cell r="D95">
            <v>70</v>
          </cell>
          <cell r="E95">
            <v>65</v>
          </cell>
          <cell r="F95">
            <v>87</v>
          </cell>
          <cell r="G95">
            <v>49</v>
          </cell>
          <cell r="H95">
            <v>33</v>
          </cell>
          <cell r="I95">
            <v>7</v>
          </cell>
          <cell r="J95">
            <v>27</v>
          </cell>
          <cell r="K95">
            <v>10</v>
          </cell>
          <cell r="L95">
            <v>41</v>
          </cell>
          <cell r="M95">
            <v>70</v>
          </cell>
          <cell r="N95">
            <v>63</v>
          </cell>
          <cell r="O95">
            <v>52</v>
          </cell>
        </row>
        <row r="96">
          <cell r="B96" t="str">
            <v>WA, E</v>
          </cell>
          <cell r="C96" t="str">
            <v>CDO</v>
          </cell>
          <cell r="D96">
            <v>200</v>
          </cell>
          <cell r="E96">
            <v>303</v>
          </cell>
          <cell r="F96">
            <v>332</v>
          </cell>
          <cell r="G96">
            <v>171</v>
          </cell>
          <cell r="H96">
            <v>75</v>
          </cell>
          <cell r="I96">
            <v>38</v>
          </cell>
          <cell r="J96">
            <v>67</v>
          </cell>
          <cell r="K96">
            <v>46</v>
          </cell>
          <cell r="L96">
            <v>222</v>
          </cell>
          <cell r="M96">
            <v>717</v>
          </cell>
          <cell r="N96">
            <v>757</v>
          </cell>
          <cell r="O96">
            <v>182</v>
          </cell>
        </row>
        <row r="97">
          <cell r="B97" t="str">
            <v>WA, W</v>
          </cell>
          <cell r="C97" t="str">
            <v>FPD</v>
          </cell>
          <cell r="D97">
            <v>236</v>
          </cell>
          <cell r="E97">
            <v>590</v>
          </cell>
          <cell r="F97">
            <v>627</v>
          </cell>
          <cell r="G97">
            <v>199</v>
          </cell>
          <cell r="H97">
            <v>84</v>
          </cell>
          <cell r="I97">
            <v>58</v>
          </cell>
          <cell r="J97">
            <v>109</v>
          </cell>
          <cell r="K97">
            <v>34</v>
          </cell>
          <cell r="L97">
            <v>285</v>
          </cell>
          <cell r="M97">
            <v>770</v>
          </cell>
          <cell r="N97">
            <v>822</v>
          </cell>
          <cell r="O97">
            <v>231</v>
          </cell>
        </row>
        <row r="98">
          <cell r="B98" t="str">
            <v>TOT: WI, E/W</v>
          </cell>
          <cell r="C98" t="str">
            <v>CDO</v>
          </cell>
          <cell r="D98">
            <v>146</v>
          </cell>
          <cell r="E98">
            <v>218</v>
          </cell>
          <cell r="F98">
            <v>204</v>
          </cell>
          <cell r="G98">
            <v>161</v>
          </cell>
          <cell r="H98">
            <v>96</v>
          </cell>
          <cell r="I98">
            <v>45</v>
          </cell>
          <cell r="J98">
            <v>110</v>
          </cell>
          <cell r="K98">
            <v>31</v>
          </cell>
          <cell r="L98">
            <v>565</v>
          </cell>
          <cell r="M98">
            <v>450</v>
          </cell>
          <cell r="N98">
            <v>863</v>
          </cell>
          <cell r="O98">
            <v>151</v>
          </cell>
        </row>
        <row r="99">
          <cell r="B99" t="str">
            <v xml:space="preserve">   WI, E</v>
          </cell>
          <cell r="C99" t="str">
            <v>CDO</v>
          </cell>
          <cell r="D99">
            <v>103</v>
          </cell>
          <cell r="E99">
            <v>135</v>
          </cell>
          <cell r="F99">
            <v>128</v>
          </cell>
          <cell r="G99">
            <v>111</v>
          </cell>
          <cell r="H99">
            <v>72</v>
          </cell>
          <cell r="I99">
            <v>22</v>
          </cell>
          <cell r="J99">
            <v>72</v>
          </cell>
          <cell r="K99">
            <v>22</v>
          </cell>
          <cell r="L99">
            <v>410</v>
          </cell>
          <cell r="M99">
            <v>380</v>
          </cell>
          <cell r="N99">
            <v>662</v>
          </cell>
          <cell r="O99">
            <v>128</v>
          </cell>
        </row>
        <row r="100">
          <cell r="B100" t="str">
            <v xml:space="preserve">   WI, W</v>
          </cell>
          <cell r="C100" t="str">
            <v>CDO</v>
          </cell>
          <cell r="D100">
            <v>43</v>
          </cell>
          <cell r="E100">
            <v>83</v>
          </cell>
          <cell r="F100">
            <v>76</v>
          </cell>
          <cell r="G100">
            <v>50</v>
          </cell>
          <cell r="H100">
            <v>24</v>
          </cell>
          <cell r="I100">
            <v>23</v>
          </cell>
          <cell r="J100">
            <v>38</v>
          </cell>
          <cell r="K100">
            <v>9</v>
          </cell>
          <cell r="L100">
            <v>155</v>
          </cell>
          <cell r="M100">
            <v>70</v>
          </cell>
          <cell r="N100">
            <v>201</v>
          </cell>
          <cell r="O100">
            <v>23</v>
          </cell>
        </row>
        <row r="101">
          <cell r="B101" t="str">
            <v>WV, N</v>
          </cell>
          <cell r="C101" t="str">
            <v>FPD</v>
          </cell>
          <cell r="D101">
            <v>67</v>
          </cell>
          <cell r="E101">
            <v>162</v>
          </cell>
          <cell r="F101">
            <v>159</v>
          </cell>
          <cell r="G101">
            <v>69</v>
          </cell>
          <cell r="H101">
            <v>58</v>
          </cell>
          <cell r="I101">
            <v>22</v>
          </cell>
          <cell r="J101">
            <v>50</v>
          </cell>
          <cell r="K101">
            <v>29</v>
          </cell>
          <cell r="L101">
            <v>86</v>
          </cell>
          <cell r="M101">
            <v>287</v>
          </cell>
          <cell r="N101">
            <v>279</v>
          </cell>
          <cell r="O101">
            <v>93</v>
          </cell>
        </row>
        <row r="102">
          <cell r="B102" t="str">
            <v>WV, S</v>
          </cell>
          <cell r="C102" t="str">
            <v>FPD</v>
          </cell>
          <cell r="D102">
            <v>111</v>
          </cell>
          <cell r="E102">
            <v>129</v>
          </cell>
          <cell r="F102">
            <v>150</v>
          </cell>
          <cell r="G102">
            <v>90</v>
          </cell>
          <cell r="H102">
            <v>89</v>
          </cell>
          <cell r="I102">
            <v>11</v>
          </cell>
          <cell r="J102">
            <v>38</v>
          </cell>
          <cell r="K102">
            <v>62</v>
          </cell>
          <cell r="L102">
            <v>138</v>
          </cell>
          <cell r="M102">
            <v>180</v>
          </cell>
          <cell r="N102">
            <v>245</v>
          </cell>
          <cell r="O102">
            <v>72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4"/>
  <sheetViews>
    <sheetView tabSelected="1" zoomScaleNormal="100" zoomScaleSheetLayoutView="115" workbookViewId="0"/>
  </sheetViews>
  <sheetFormatPr defaultRowHeight="15" x14ac:dyDescent="0.25"/>
  <cols>
    <col min="1" max="1" width="5.7109375" customWidth="1"/>
    <col min="2" max="2" width="2.7109375" customWidth="1"/>
    <col min="3" max="3" width="9.7109375" customWidth="1"/>
    <col min="4" max="5" width="5.7109375" customWidth="1"/>
    <col min="6" max="6" width="12.7109375" customWidth="1"/>
    <col min="7" max="8" width="5.7109375" customWidth="1"/>
    <col min="9" max="9" width="12.7109375" customWidth="1"/>
    <col min="10" max="11" width="5.7109375" customWidth="1"/>
    <col min="12" max="12" width="12.7109375" customWidth="1"/>
    <col min="13" max="14" width="5.7109375" customWidth="1"/>
    <col min="15" max="15" width="12.7109375" customWidth="1"/>
    <col min="16" max="16" width="5.7109375" customWidth="1"/>
  </cols>
  <sheetData>
    <row r="1" spans="1:16" ht="13.5" customHeight="1" x14ac:dyDescent="0.25">
      <c r="A1" s="1" t="s">
        <v>0</v>
      </c>
    </row>
    <row r="2" spans="1:16" ht="13.5" customHeight="1" x14ac:dyDescent="0.25">
      <c r="A2" s="1" t="s">
        <v>1</v>
      </c>
    </row>
    <row r="3" spans="1:16" ht="13.5" customHeight="1" x14ac:dyDescent="0.25">
      <c r="A3" s="2" t="str">
        <f>"During the 12-Month Period Ending September 30, "&amp;'[1]Raw Data'!$A$2</f>
        <v>During the 12-Month Period Ending September 30, 2017</v>
      </c>
    </row>
    <row r="4" spans="1:16" ht="13.5" customHeight="1" x14ac:dyDescent="0.25"/>
    <row r="5" spans="1:16" ht="15" customHeight="1" x14ac:dyDescent="0.25">
      <c r="A5" s="3" t="s">
        <v>2</v>
      </c>
      <c r="B5" s="3"/>
      <c r="C5" s="3"/>
      <c r="D5" s="4"/>
      <c r="E5" s="5" t="s">
        <v>3</v>
      </c>
      <c r="F5" s="3"/>
      <c r="G5" s="4"/>
      <c r="H5" s="5" t="s">
        <v>4</v>
      </c>
      <c r="I5" s="3"/>
      <c r="J5" s="4"/>
      <c r="K5" s="5" t="s">
        <v>4</v>
      </c>
      <c r="L5" s="3"/>
      <c r="M5" s="4"/>
      <c r="N5" s="5" t="s">
        <v>3</v>
      </c>
      <c r="O5" s="3"/>
      <c r="P5" s="3"/>
    </row>
    <row r="6" spans="1:16" ht="13.5" customHeight="1" x14ac:dyDescent="0.25">
      <c r="A6" s="6" t="s">
        <v>5</v>
      </c>
      <c r="B6" s="6"/>
      <c r="C6" s="6"/>
      <c r="D6" s="7"/>
      <c r="E6" s="8" t="str">
        <f>"October 1, "&amp;'[1]Raw Data'!$A$2-1</f>
        <v>October 1, 2016</v>
      </c>
      <c r="F6" s="9"/>
      <c r="G6" s="10"/>
      <c r="H6" s="11" t="s">
        <v>6</v>
      </c>
      <c r="I6" s="6"/>
      <c r="J6" s="7"/>
      <c r="K6" s="11" t="s">
        <v>7</v>
      </c>
      <c r="L6" s="6"/>
      <c r="M6" s="7"/>
      <c r="N6" s="8" t="str">
        <f>"September 30, "&amp;'[1]Raw Data'!$A$2</f>
        <v>September 30, 2017</v>
      </c>
      <c r="O6" s="9"/>
      <c r="P6" s="9"/>
    </row>
    <row r="7" spans="1:16" ht="3.7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8" customHeight="1" x14ac:dyDescent="0.25">
      <c r="A8" s="13"/>
      <c r="B8" s="13"/>
      <c r="C8" s="14" t="s">
        <v>8</v>
      </c>
      <c r="D8" s="13"/>
      <c r="E8" s="13"/>
      <c r="F8" s="15">
        <f>SUM(F9:F11)</f>
        <v>73337</v>
      </c>
      <c r="G8" s="15"/>
      <c r="H8" s="15"/>
      <c r="I8" s="15">
        <f>SUM(I9:I11)</f>
        <v>112661</v>
      </c>
      <c r="J8" s="15"/>
      <c r="K8" s="15"/>
      <c r="L8" s="15">
        <f>SUM(L9:L11)</f>
        <v>127414</v>
      </c>
      <c r="M8" s="15"/>
      <c r="N8" s="15"/>
      <c r="O8" s="15">
        <f>SUM(O9:O11)</f>
        <v>58445</v>
      </c>
      <c r="P8" s="13"/>
    </row>
    <row r="9" spans="1:16" ht="13.5" customHeight="1" x14ac:dyDescent="0.25">
      <c r="A9" s="13"/>
      <c r="B9" s="13" t="s">
        <v>9</v>
      </c>
      <c r="C9" s="13"/>
      <c r="D9" s="13"/>
      <c r="E9" s="13"/>
      <c r="F9" s="16">
        <f>SUM(F14,F19,F24,F29,F34,F39,F44,F49,F54,F59,F64,F74,F79,F84,F89,F94,F99,F104,F109,F114,F119,F124,F129,F139,F144,F149,F154,F159,F164,F169,F174,F179,F184,F189,F199,F204,F214,F219,F224,F229,F234,F239,F244,F249,F254,F259,F269,F274,F279,F284,F289,F294,F314,F319,F324,F329,F339,F344,F349,F354,F359,F364,F374,F379,F384,F389,F394,F399,F404,F409,F414,F309,F304,F419,F424,F429,F434,F439,F444,F449,F454,F459,F464,F469,F474,F479,F484,F494,F499,F504,F509)</f>
        <v>26274</v>
      </c>
      <c r="G9" s="16"/>
      <c r="H9" s="16"/>
      <c r="I9" s="16">
        <f>SUM(I14,I19,I24,I29,I34,I39,I44,I49,I54,I59,I64,I74,I79,I84,I89,I94,I99,I104,I109,I114,I119,I124,I129,I139,I144,I149,I154,I159,I164,I169,I174,I179,I184,I189,I199,I204,I214,I219,I224,I229,I234,I239,I244,I249,I254,I259,I269,I274,I279,I284,I289,I294,I314,I319,I324,I329,I339,I344,I349,I354,I359,I364,I374,I379,I384,I389,I394,I399,I404,I409,I414,I309,I304,I419,I424,I429,I434,I439,I444,I449,I454,I459,I464,I469,I474,I479,I484,I494,I499,I504,I509)</f>
        <v>61895</v>
      </c>
      <c r="J9" s="16"/>
      <c r="K9" s="16"/>
      <c r="L9" s="16">
        <f>SUM(L14,L19,L24,L29,L34,L39,L44,L49,L54,L59,L64,L74,L79,L84,L89,L94,L99,L104,L109,L114,L119,L124,L129,L139,L144,L149,L154,L159,L164,L169,L174,L179,L184,L189,L199,L204,L214,L219,L224,L229,L234,L239,L244,L249,L254,L259,L269,L274,L279,L284,L289,L294,L314,L319,L324,L329,L339,L344,L349,L354,L359,L364,L374,L379,L384,L389,L394,L399,L404,L409,L414,L309,L304,L419,L424,L429,L434,L439,L444,L449,L454,L459,L464,L469,L474,L479,L484,L494,L499,L504,L509)</f>
        <v>61127</v>
      </c>
      <c r="M9" s="16"/>
      <c r="N9" s="16"/>
      <c r="O9" s="16">
        <f>SUM(O14,O19,O24,O29,O34,O39,O44,O49,O54,O59,O64,O74,O79,O84,O89,O94,O99,O104,O109,O114,O119,O124,O129,O139,O144,O149,O154,O159,O164,O169,O174,O179,O184,O189,O199,O204,O214,O219,O224,O229,O234,O239,O244,O249,O254,O259,O269,O274,O279,O284,O289,O294,O314,O319,O324,O329,O339,O344,O349,O354,O359,O364,O374,O379,O384,O389,O394,O399,O404,O409,O414,O309,O304,O419,O424,O429,O434,O439,O444,O449,O454,O459,O464,O469,O474,O479,O484,O494,O499,O504,O509)</f>
        <v>27065</v>
      </c>
      <c r="P9" s="13"/>
    </row>
    <row r="10" spans="1:16" ht="13.5" customHeight="1" x14ac:dyDescent="0.25">
      <c r="A10" s="13"/>
      <c r="B10" s="13" t="s">
        <v>10</v>
      </c>
      <c r="C10" s="13"/>
      <c r="D10" s="13"/>
      <c r="E10" s="13"/>
      <c r="F10" s="16">
        <f>SUM(F15,F20,F25,F30,F35,F40,F45,F50,F55,F60,F65,F75,F80,F85,F90,F95,F100,F105,F110,F115,F120,F125,F130,F140,F145,F150,F155,F160,F165,F170,F175,F180,F185,F190,F200,F205,F215,F220,F225,F230,F235,F240,F245,F250,F255,F260,F270,F275,F280,F285,F290,F295,F315,F320,F325,F330,F340,F345,F350,F355,F360,F365,F375,F380,F385,F390,F395,F400,F405,F410,F415,F310,F305,F420,F425,F430,F435,F440,F445,F450,F455,F460,F465,F470,F475,F480,F485,F495,F500,F505,F510)</f>
        <v>15712</v>
      </c>
      <c r="G10" s="16"/>
      <c r="H10" s="16"/>
      <c r="I10" s="16">
        <f>SUM(I15,I20,I25,I30,I35,I40,I45,I50,I55,I60,I65,I75,I80,I85,I90,I95,I100,I105,I110,I115,I120,I125,I130,I140,I145,I150,I155,I160,I165,I170,I175,I180,I185,I190,I200,I205,I215,I220,I225,I230,I235,I240,I245,I250,I255,I260,I270,I275,I280,I285,I290,I295,I315,I320,I325,I330,I340,I345,I350,I355,I360,I365,I375,I380,I385,I390,I395,I400,I405,I410,I415,I310,I305,I420,I425,I430,I435,I440,I445,I450,I455,I460,I465,I470,I475,I480,I485,I495,I500,I505,I510)</f>
        <v>6288</v>
      </c>
      <c r="J10" s="16"/>
      <c r="K10" s="16"/>
      <c r="L10" s="16">
        <f>SUM(L15,L20,L25,L30,L35,L40,L45,L50,L55,L60,L65,L75,L80,L85,L90,L95,L100,L105,L110,L115,L120,L125,L130,L140,L145,L150,L155,L160,L165,L170,L175,L180,L185,L190,L200,L205,L215,L220,L225,L230,L235,L240,L245,L250,L255,L260,L270,L275,L280,L285,L290,L295,L315,L320,L325,L330,L340,L345,L350,L355,L360,L365,L375,L380,L385,L390,L395,L400,L405,L410,L415,L310,L305,L420,L425,L430,L435,L440,L445,L450,L455,L460,L465,L470,L475,L480,L485,L495,L500,L505,L510)</f>
        <v>10541</v>
      </c>
      <c r="M10" s="16"/>
      <c r="N10" s="16"/>
      <c r="O10" s="16">
        <f>SUM(O15,O20,O25,O30,O35,O40,O45,O50,O55,O60,O65,O75,O80,O85,O90,O95,O100,O105,O110,O115,O120,O125,O130,O140,O145,O150,O155,O160,O165,O170,O175,O180,O185,O190,O200,O205,O215,O220,O225,O230,O235,O240,O245,O250,O255,O260,O270,O275,O280,O285,O290,O295,O315,O320,O325,O330,O340,O345,O350,O355,O360,O365,O375,O380,O385,O390,O395,O400,O405,O410,O415,O310,O305,O420,O425,O430,O435,O440,O445,O450,O455,O460,O465,O470,O475,O480,O485,O495,O500,O505,O510)</f>
        <v>11519</v>
      </c>
      <c r="P10" s="13"/>
    </row>
    <row r="11" spans="1:16" ht="13.5" customHeight="1" x14ac:dyDescent="0.25">
      <c r="A11" s="13"/>
      <c r="B11" s="13" t="s">
        <v>11</v>
      </c>
      <c r="C11" s="13"/>
      <c r="D11" s="13"/>
      <c r="E11" s="13"/>
      <c r="F11" s="16">
        <f>SUM(F16,F21,F26,F31,F36,F41,F46,F51,F56,F61,F66,F76,F81,F86,F91,F96,F101,F106,F111,F116,F121,F126,F131,F141,F146,F151,F156,F161,F166,F171,F176,F181,F186,F191,F201,F206,F216,F221,F226,F231,F236,F241,F246,F251,F256,F261,F271,F276,F281,F286,F291,F296,F316,F321,F326,F331,F341,F346,F351,F356,F361,F366,F376,F381,F386,F391,F396,F401,F406,F411,F416,F311,F306,F421,F426,F431,F436,F441,F446,F451,F456,F461,F466,F471,F476,F481,F486,F496,F501,F506,F511)</f>
        <v>31351</v>
      </c>
      <c r="G11" s="16"/>
      <c r="H11" s="16"/>
      <c r="I11" s="16">
        <f>SUM(I16,I21,I26,I31,I36,I41,I46,I51,I56,I61,I66,I76,I81,I86,I91,I96,I101,I106,I111,I116,I121,I126,I131,I141,I146,I151,I156,I161,I166,I171,I176,I181,I186,I191,I201,I206,I216,I221,I226,I231,I236,I241,I246,I251,I256,I261,I271,I276,I281,I286,I291,I296,I316,I321,I326,I331,I341,I346,I351,I356,I361,I366,I376,I381,I386,I391,I396,I401,I406,I411,I416,I311,I306,I421,I426,I431,I436,I441,I446,I451,I456,I461,I466,I471,I476,I481,I486,I496,I501,I506,I511)</f>
        <v>44478</v>
      </c>
      <c r="J11" s="16"/>
      <c r="K11" s="16"/>
      <c r="L11" s="16">
        <f>SUM(L16,L21,L26,L31,L36,L41,L46,L51,L56,L61,L66,L76,L81,L86,L91,L96,L101,L106,L111,L116,L121,L126,L131,L141,L146,L151,L156,L161,L166,L171,L176,L181,L186,L191,L201,L206,L216,L221,L226,L231,L236,L241,L246,L251,L256,L261,L271,L276,L281,L286,L291,L296,L316,L321,L326,L331,L341,L346,L351,L356,L361,L366,L376,L381,L386,L391,L396,L401,L406,L411,L416,L311,L306,L421,L426,L431,L436,L441,L446,L451,L456,L461,L466,L471,L476,L481,L486,L496,L501,L506,L511)</f>
        <v>55746</v>
      </c>
      <c r="M11" s="16"/>
      <c r="N11" s="16"/>
      <c r="O11" s="16">
        <f>SUM(O16,O21,O26,O31,O36,O41,O46,O51,O56,O61,O66,O76,O81,O86,O91,O96,O101,O106,O111,O116,O121,O126,O131,O141,O146,O151,O156,O161,O166,O171,O176,O181,O186,O191,O201,O206,O216,O221,O226,O231,O236,O241,O246,O251,O256,O261,O271,O276,O281,O286,O291,O296,O316,O321,O326,O331,O341,O346,O351,O356,O361,O366,O376,O381,O386,O391,O396,O401,O406,O411,O416,O311,O306,O421,O426,O431,O436,O441,O446,O451,O456,O461,O466,O471,O476,O481,O486,O496,O501,O506,O511)</f>
        <v>19861</v>
      </c>
      <c r="P11" s="13"/>
    </row>
    <row r="12" spans="1:16" ht="12" customHeight="1" x14ac:dyDescent="0.25">
      <c r="A12" s="13"/>
      <c r="B12" s="13"/>
      <c r="C12" s="13"/>
      <c r="D12" s="13"/>
      <c r="E12" s="13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3"/>
    </row>
    <row r="13" spans="1:16" ht="13.5" customHeight="1" x14ac:dyDescent="0.25">
      <c r="A13" s="13"/>
      <c r="B13" s="13"/>
      <c r="C13" s="18" t="str">
        <f>IF(VLOOKUP("AK",'[1]Raw Data'!$B$2:$O$102,2,FALSE)="CDO","AK"&amp;" "&amp;CHAR(178),"AK")</f>
        <v>AK</v>
      </c>
      <c r="D13" s="13"/>
      <c r="F13" s="15">
        <f>SUM(F14:F16)</f>
        <v>320</v>
      </c>
      <c r="G13" s="15"/>
      <c r="H13" s="15"/>
      <c r="I13" s="15">
        <f>SUM(I14:I16)</f>
        <v>369</v>
      </c>
      <c r="J13" s="15"/>
      <c r="K13" s="15"/>
      <c r="L13" s="15">
        <f>SUM(L14:L16)</f>
        <v>296</v>
      </c>
      <c r="M13" s="15"/>
      <c r="N13" s="15"/>
      <c r="O13" s="15">
        <f>SUM(O14:O16)</f>
        <v>397</v>
      </c>
    </row>
    <row r="14" spans="1:16" ht="13.5" customHeight="1" x14ac:dyDescent="0.25">
      <c r="A14" s="13"/>
      <c r="B14" s="13" t="s">
        <v>9</v>
      </c>
      <c r="C14" s="13"/>
      <c r="D14" s="13"/>
      <c r="E14" s="13"/>
      <c r="F14" s="17">
        <f>VLOOKUP("AK",'[1]Raw Data'!$B$2:$O$102,3,FALSE)</f>
        <v>102</v>
      </c>
      <c r="G14" s="17"/>
      <c r="H14" s="17"/>
      <c r="I14" s="17">
        <f>VLOOKUP("AK",'[1]Raw Data'!$B$2:$O$102,4,FALSE)</f>
        <v>156</v>
      </c>
      <c r="J14" s="17"/>
      <c r="K14" s="17"/>
      <c r="L14" s="17">
        <f>VLOOKUP("AK",'[1]Raw Data'!$B$2:$O$102,5,FALSE)</f>
        <v>120</v>
      </c>
      <c r="M14" s="17"/>
      <c r="N14" s="17"/>
      <c r="O14" s="17">
        <f>VLOOKUP("AK",'[1]Raw Data'!$B$2:$O$102,6,FALSE)</f>
        <v>138</v>
      </c>
    </row>
    <row r="15" spans="1:16" ht="13.5" customHeight="1" x14ac:dyDescent="0.25">
      <c r="A15" s="13"/>
      <c r="B15" s="13" t="s">
        <v>10</v>
      </c>
      <c r="C15" s="13"/>
      <c r="D15" s="13"/>
      <c r="E15" s="13"/>
      <c r="F15" s="17">
        <f>VLOOKUP("AK",'[1]Raw Data'!$B$2:$O$102,7,FALSE)</f>
        <v>31</v>
      </c>
      <c r="G15" s="17"/>
      <c r="H15" s="17"/>
      <c r="I15" s="17">
        <f>VLOOKUP("AK",'[1]Raw Data'!$B$2:$O$102,8,FALSE)</f>
        <v>14</v>
      </c>
      <c r="J15" s="17"/>
      <c r="K15" s="17"/>
      <c r="L15" s="17">
        <f>VLOOKUP("AK",'[1]Raw Data'!$B$2:$O$102,9,FALSE)</f>
        <v>24</v>
      </c>
      <c r="M15" s="17"/>
      <c r="N15" s="17"/>
      <c r="O15" s="17">
        <f>VLOOKUP("AK",'[1]Raw Data'!$B$2:$O$102,10,FALSE)</f>
        <v>20</v>
      </c>
    </row>
    <row r="16" spans="1:16" ht="13.5" customHeight="1" x14ac:dyDescent="0.25">
      <c r="A16" s="13"/>
      <c r="B16" s="13" t="s">
        <v>11</v>
      </c>
      <c r="C16" s="13"/>
      <c r="D16" s="13"/>
      <c r="E16" s="13"/>
      <c r="F16" s="17">
        <f>VLOOKUP("AK",'[1]Raw Data'!$B$2:$O$102,11,FALSE)</f>
        <v>187</v>
      </c>
      <c r="G16" s="17"/>
      <c r="H16" s="17"/>
      <c r="I16" s="17">
        <f>VLOOKUP("AK",'[1]Raw Data'!$B$2:$O$102,12,FALSE)</f>
        <v>199</v>
      </c>
      <c r="J16" s="17"/>
      <c r="K16" s="17"/>
      <c r="L16" s="17">
        <f>VLOOKUP("AK",'[1]Raw Data'!$B$2:$O$102,13,FALSE)</f>
        <v>152</v>
      </c>
      <c r="M16" s="17"/>
      <c r="N16" s="17"/>
      <c r="O16" s="17">
        <f>VLOOKUP("AK",'[1]Raw Data'!$B$2:$O$102,14,FALSE)</f>
        <v>239</v>
      </c>
    </row>
    <row r="17" spans="1:15" ht="12" customHeight="1" x14ac:dyDescent="0.25">
      <c r="A17" s="13"/>
      <c r="B17" s="13"/>
      <c r="C17" s="13"/>
      <c r="D17" s="13"/>
      <c r="E17" s="13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3.5" customHeight="1" x14ac:dyDescent="0.25">
      <c r="A18" s="13"/>
      <c r="B18" s="13"/>
      <c r="C18" s="18" t="str">
        <f>IF(VLOOKUP("AL, M",'[1]Raw Data'!$B$2:$O$102,2,FALSE)="CDO","AL, M"&amp;" "&amp;CHAR(178),"AL, M")</f>
        <v>AL, M ²</v>
      </c>
      <c r="D18" s="13"/>
      <c r="F18" s="15">
        <f>SUM(F19:F21)</f>
        <v>263</v>
      </c>
      <c r="G18" s="15"/>
      <c r="H18" s="15"/>
      <c r="I18" s="15">
        <f>SUM(I19:I21)</f>
        <v>310</v>
      </c>
      <c r="J18" s="15"/>
      <c r="K18" s="15"/>
      <c r="L18" s="15">
        <f>SUM(L19:L21)</f>
        <v>370</v>
      </c>
      <c r="M18" s="15"/>
      <c r="N18" s="15"/>
      <c r="O18" s="15">
        <f>SUM(O19:O21)</f>
        <v>203</v>
      </c>
    </row>
    <row r="19" spans="1:15" ht="13.5" customHeight="1" x14ac:dyDescent="0.25">
      <c r="A19" s="13"/>
      <c r="B19" s="13" t="s">
        <v>9</v>
      </c>
      <c r="C19" s="13"/>
      <c r="D19" s="13"/>
      <c r="E19" s="13"/>
      <c r="F19" s="17">
        <f>VLOOKUP("AL, M",'[1]Raw Data'!$B$2:$O$102,3,FALSE)</f>
        <v>87</v>
      </c>
      <c r="G19" s="17"/>
      <c r="H19" s="17"/>
      <c r="I19" s="17">
        <f>VLOOKUP("AL, M",'[1]Raw Data'!$B$2:$O$102,4,FALSE)</f>
        <v>155</v>
      </c>
      <c r="J19" s="17"/>
      <c r="K19" s="17"/>
      <c r="L19" s="17">
        <f>VLOOKUP("AL, M",'[1]Raw Data'!$B$2:$O$102,5,FALSE)</f>
        <v>172</v>
      </c>
      <c r="M19" s="17"/>
      <c r="N19" s="17"/>
      <c r="O19" s="17">
        <f>VLOOKUP("AL, M",'[1]Raw Data'!$B$2:$O$102,6,FALSE)</f>
        <v>70</v>
      </c>
    </row>
    <row r="20" spans="1:15" ht="13.5" customHeight="1" x14ac:dyDescent="0.25">
      <c r="A20" s="13"/>
      <c r="B20" s="13" t="s">
        <v>10</v>
      </c>
      <c r="C20" s="13"/>
      <c r="D20" s="13"/>
      <c r="E20" s="13"/>
      <c r="F20" s="17">
        <f>VLOOKUP("AL, M",'[1]Raw Data'!$B$2:$O$102,7,FALSE)</f>
        <v>39</v>
      </c>
      <c r="G20" s="17"/>
      <c r="H20" s="17"/>
      <c r="I20" s="17">
        <f>VLOOKUP("AL, M",'[1]Raw Data'!$B$2:$O$102,8,FALSE)</f>
        <v>42</v>
      </c>
      <c r="J20" s="17"/>
      <c r="K20" s="17"/>
      <c r="L20" s="17">
        <f>VLOOKUP("AL, M",'[1]Raw Data'!$B$2:$O$102,9,FALSE)</f>
        <v>20</v>
      </c>
      <c r="M20" s="17"/>
      <c r="N20" s="17"/>
      <c r="O20" s="17">
        <f>VLOOKUP("AL, M",'[1]Raw Data'!$B$2:$O$102,10,FALSE)</f>
        <v>61</v>
      </c>
    </row>
    <row r="21" spans="1:15" ht="13.5" customHeight="1" x14ac:dyDescent="0.25">
      <c r="A21" s="13"/>
      <c r="B21" s="13" t="s">
        <v>11</v>
      </c>
      <c r="C21" s="13"/>
      <c r="D21" s="13"/>
      <c r="E21" s="13"/>
      <c r="F21" s="17">
        <f>VLOOKUP("AL, M",'[1]Raw Data'!$B$2:$O$102,11,FALSE)</f>
        <v>137</v>
      </c>
      <c r="G21" s="17"/>
      <c r="H21" s="17"/>
      <c r="I21" s="17">
        <f>VLOOKUP("AL, M",'[1]Raw Data'!$B$2:$O$102,12,FALSE)</f>
        <v>113</v>
      </c>
      <c r="J21" s="17"/>
      <c r="K21" s="17"/>
      <c r="L21" s="17">
        <f>VLOOKUP("AL, M",'[1]Raw Data'!$B$2:$O$102,13,FALSE)</f>
        <v>178</v>
      </c>
      <c r="M21" s="17"/>
      <c r="N21" s="17"/>
      <c r="O21" s="17">
        <f>VLOOKUP("AL, M",'[1]Raw Data'!$B$2:$O$102,14,FALSE)</f>
        <v>72</v>
      </c>
    </row>
    <row r="22" spans="1:15" ht="12" customHeight="1" x14ac:dyDescent="0.25">
      <c r="A22" s="13"/>
      <c r="B22" s="13"/>
      <c r="C22" s="13"/>
      <c r="D22" s="13"/>
      <c r="E22" s="13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3.5" customHeight="1" x14ac:dyDescent="0.25">
      <c r="A23" s="13"/>
      <c r="B23" s="13"/>
      <c r="C23" s="18" t="str">
        <f>IF(VLOOKUP("AL, N",'[1]Raw Data'!$B$2:$O$102,2,FALSE)="CDO","AL, N"&amp;" "&amp;CHAR(178),"AL, N")</f>
        <v>AL, N</v>
      </c>
      <c r="D23" s="13"/>
      <c r="F23" s="15">
        <f>SUM(F24:F26)</f>
        <v>236</v>
      </c>
      <c r="G23" s="15"/>
      <c r="H23" s="15"/>
      <c r="I23" s="15">
        <f>SUM(I24:I26)</f>
        <v>643</v>
      </c>
      <c r="J23" s="15"/>
      <c r="K23" s="15"/>
      <c r="L23" s="15">
        <f>SUM(L24:L26)</f>
        <v>568</v>
      </c>
      <c r="M23" s="15"/>
      <c r="N23" s="15"/>
      <c r="O23" s="15">
        <f>SUM(O24:O26)</f>
        <v>300</v>
      </c>
    </row>
    <row r="24" spans="1:15" ht="13.5" customHeight="1" x14ac:dyDescent="0.25">
      <c r="A24" s="13"/>
      <c r="B24" s="13" t="s">
        <v>9</v>
      </c>
      <c r="C24" s="13"/>
      <c r="D24" s="13"/>
      <c r="E24" s="13"/>
      <c r="F24" s="17">
        <f>VLOOKUP("AL, N",'[1]Raw Data'!$B$2:$O$102,3,FALSE)</f>
        <v>106</v>
      </c>
      <c r="G24" s="17"/>
      <c r="H24" s="17"/>
      <c r="I24" s="17">
        <f>VLOOKUP("AL, N",'[1]Raw Data'!$B$2:$O$102,4,FALSE)</f>
        <v>344</v>
      </c>
      <c r="J24" s="17"/>
      <c r="K24" s="17"/>
      <c r="L24" s="17">
        <f>VLOOKUP("AL, N",'[1]Raw Data'!$B$2:$O$102,5,FALSE)</f>
        <v>264</v>
      </c>
      <c r="M24" s="17"/>
      <c r="N24" s="17"/>
      <c r="O24" s="17">
        <f>VLOOKUP("AL, N",'[1]Raw Data'!$B$2:$O$102,6,FALSE)</f>
        <v>179</v>
      </c>
    </row>
    <row r="25" spans="1:15" ht="13.5" customHeight="1" x14ac:dyDescent="0.25">
      <c r="A25" s="13"/>
      <c r="B25" s="13" t="s">
        <v>10</v>
      </c>
      <c r="C25" s="13"/>
      <c r="D25" s="13"/>
      <c r="E25" s="13"/>
      <c r="F25" s="17">
        <f>VLOOKUP("AL, N",'[1]Raw Data'!$B$2:$O$102,7,FALSE)</f>
        <v>41</v>
      </c>
      <c r="G25" s="17"/>
      <c r="H25" s="17"/>
      <c r="I25" s="17">
        <f>VLOOKUP("AL, N",'[1]Raw Data'!$B$2:$O$102,8,FALSE)</f>
        <v>37</v>
      </c>
      <c r="J25" s="17"/>
      <c r="K25" s="17"/>
      <c r="L25" s="17">
        <f>VLOOKUP("AL, N",'[1]Raw Data'!$B$2:$O$102,9,FALSE)</f>
        <v>40</v>
      </c>
      <c r="M25" s="17"/>
      <c r="N25" s="17"/>
      <c r="O25" s="17">
        <f>VLOOKUP("AL, N",'[1]Raw Data'!$B$2:$O$102,10,FALSE)</f>
        <v>35</v>
      </c>
    </row>
    <row r="26" spans="1:15" ht="13.5" customHeight="1" x14ac:dyDescent="0.25">
      <c r="A26" s="13"/>
      <c r="B26" s="13" t="s">
        <v>11</v>
      </c>
      <c r="C26" s="13"/>
      <c r="D26" s="13"/>
      <c r="E26" s="13"/>
      <c r="F26" s="17">
        <f>VLOOKUP("AL, N",'[1]Raw Data'!$B$2:$O$102,11,FALSE)</f>
        <v>89</v>
      </c>
      <c r="G26" s="17"/>
      <c r="H26" s="17"/>
      <c r="I26" s="17">
        <f>VLOOKUP("AL, N",'[1]Raw Data'!$B$2:$O$102,12,FALSE)</f>
        <v>262</v>
      </c>
      <c r="J26" s="17"/>
      <c r="K26" s="17"/>
      <c r="L26" s="17">
        <f>VLOOKUP("AL, N",'[1]Raw Data'!$B$2:$O$102,13,FALSE)</f>
        <v>264</v>
      </c>
      <c r="M26" s="17"/>
      <c r="N26" s="17"/>
      <c r="O26" s="17">
        <f>VLOOKUP("AL, N",'[1]Raw Data'!$B$2:$O$102,14,FALSE)</f>
        <v>86</v>
      </c>
    </row>
    <row r="27" spans="1:15" ht="12" customHeight="1" x14ac:dyDescent="0.25">
      <c r="A27" s="13"/>
      <c r="B27" s="13"/>
      <c r="C27" s="13"/>
      <c r="D27" s="13"/>
      <c r="E27" s="13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3.5" customHeight="1" x14ac:dyDescent="0.25">
      <c r="A28" s="13"/>
      <c r="B28" s="13"/>
      <c r="C28" s="18" t="str">
        <f>IF(VLOOKUP("AL, S",'[1]Raw Data'!$B$2:$O$102,2,FALSE)="CDO","AL, S"&amp;" "&amp;CHAR(178),"AL, S")</f>
        <v>AL, S ²</v>
      </c>
      <c r="D28" s="13"/>
      <c r="F28" s="15">
        <f>SUM(F29:F31)</f>
        <v>161</v>
      </c>
      <c r="G28" s="15"/>
      <c r="H28" s="15"/>
      <c r="I28" s="15">
        <f>SUM(I29:I31)</f>
        <v>355</v>
      </c>
      <c r="J28" s="15"/>
      <c r="K28" s="15"/>
      <c r="L28" s="15">
        <f>SUM(L29:L31)</f>
        <v>405</v>
      </c>
      <c r="M28" s="15"/>
      <c r="N28" s="15"/>
      <c r="O28" s="15">
        <f>SUM(O29:O31)</f>
        <v>111</v>
      </c>
    </row>
    <row r="29" spans="1:15" ht="13.5" customHeight="1" x14ac:dyDescent="0.25">
      <c r="A29" s="13"/>
      <c r="B29" s="13" t="s">
        <v>9</v>
      </c>
      <c r="C29" s="13"/>
      <c r="D29" s="13"/>
      <c r="E29" s="13"/>
      <c r="F29" s="17">
        <f>VLOOKUP("AL, S",'[1]Raw Data'!$B$2:$O$102,3,FALSE)</f>
        <v>63</v>
      </c>
      <c r="G29" s="17"/>
      <c r="H29" s="17"/>
      <c r="I29" s="17">
        <f>VLOOKUP("AL, S",'[1]Raw Data'!$B$2:$O$102,4,FALSE)</f>
        <v>188</v>
      </c>
      <c r="J29" s="17"/>
      <c r="K29" s="17"/>
      <c r="L29" s="17">
        <f>VLOOKUP("AL, S",'[1]Raw Data'!$B$2:$O$102,5,FALSE)</f>
        <v>182</v>
      </c>
      <c r="M29" s="17"/>
      <c r="N29" s="17"/>
      <c r="O29" s="17">
        <f>VLOOKUP("AL, S",'[1]Raw Data'!$B$2:$O$102,6,FALSE)</f>
        <v>69</v>
      </c>
    </row>
    <row r="30" spans="1:15" ht="13.5" customHeight="1" x14ac:dyDescent="0.25">
      <c r="A30" s="13"/>
      <c r="B30" s="13" t="s">
        <v>10</v>
      </c>
      <c r="C30" s="13"/>
      <c r="D30" s="13"/>
      <c r="E30" s="13"/>
      <c r="F30" s="17">
        <f>VLOOKUP("AL, S",'[1]Raw Data'!$B$2:$O$102,7,FALSE)</f>
        <v>25</v>
      </c>
      <c r="G30" s="17"/>
      <c r="H30" s="17"/>
      <c r="I30" s="17">
        <f>VLOOKUP("AL, S",'[1]Raw Data'!$B$2:$O$102,8,FALSE)</f>
        <v>18</v>
      </c>
      <c r="J30" s="17"/>
      <c r="K30" s="17"/>
      <c r="L30" s="17">
        <f>VLOOKUP("AL, S",'[1]Raw Data'!$B$2:$O$102,9,FALSE)</f>
        <v>23</v>
      </c>
      <c r="M30" s="17"/>
      <c r="N30" s="17"/>
      <c r="O30" s="17">
        <f>VLOOKUP("AL, S",'[1]Raw Data'!$B$2:$O$102,10,FALSE)</f>
        <v>20</v>
      </c>
    </row>
    <row r="31" spans="1:15" ht="13.5" customHeight="1" x14ac:dyDescent="0.25">
      <c r="A31" s="13"/>
      <c r="B31" s="13" t="s">
        <v>11</v>
      </c>
      <c r="C31" s="13"/>
      <c r="D31" s="13"/>
      <c r="E31" s="13"/>
      <c r="F31" s="17">
        <f>VLOOKUP("AL, S",'[1]Raw Data'!$B$2:$O$102,11,FALSE)</f>
        <v>73</v>
      </c>
      <c r="G31" s="17"/>
      <c r="H31" s="17"/>
      <c r="I31" s="17">
        <f>VLOOKUP("AL, S",'[1]Raw Data'!$B$2:$O$102,12,FALSE)</f>
        <v>149</v>
      </c>
      <c r="J31" s="17"/>
      <c r="K31" s="17"/>
      <c r="L31" s="17">
        <f>VLOOKUP("AL, S",'[1]Raw Data'!$B$2:$O$102,13,FALSE)</f>
        <v>200</v>
      </c>
      <c r="M31" s="17"/>
      <c r="N31" s="17"/>
      <c r="O31" s="17">
        <f>VLOOKUP("AL, S",'[1]Raw Data'!$B$2:$O$102,14,FALSE)</f>
        <v>22</v>
      </c>
    </row>
    <row r="32" spans="1:15" ht="12" customHeight="1" x14ac:dyDescent="0.25">
      <c r="E32" s="13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5" customHeight="1" x14ac:dyDescent="0.25">
      <c r="A33" s="13"/>
      <c r="B33" s="13"/>
      <c r="C33" s="18" t="str">
        <f>IF(VLOOKUP("AR, E",'[1]Raw Data'!$B$2:$O$102,2,FALSE)="CDO","AR, E"&amp;" "&amp;CHAR(178),"AR, E")</f>
        <v>AR, E</v>
      </c>
      <c r="D33" s="13"/>
      <c r="F33" s="15">
        <f>SUM(F34:F36)</f>
        <v>562</v>
      </c>
      <c r="G33" s="15"/>
      <c r="H33" s="15"/>
      <c r="I33" s="15">
        <f>SUM(I34:I36)</f>
        <v>593</v>
      </c>
      <c r="J33" s="15"/>
      <c r="K33" s="15"/>
      <c r="L33" s="15">
        <f>SUM(L34:L36)</f>
        <v>591</v>
      </c>
      <c r="M33" s="15"/>
      <c r="N33" s="15"/>
      <c r="O33" s="15">
        <f>SUM(O34:O36)</f>
        <v>564</v>
      </c>
    </row>
    <row r="34" spans="1:15" ht="13.5" customHeight="1" x14ac:dyDescent="0.25">
      <c r="A34" s="13"/>
      <c r="B34" s="13" t="s">
        <v>9</v>
      </c>
      <c r="C34" s="13"/>
      <c r="D34" s="13"/>
      <c r="E34" s="13"/>
      <c r="F34" s="17">
        <f>VLOOKUP("AR, E",'[1]Raw Data'!$B$2:$O$102,3,FALSE)</f>
        <v>199</v>
      </c>
      <c r="G34" s="17"/>
      <c r="H34" s="17"/>
      <c r="I34" s="17">
        <f>VLOOKUP("AR, E",'[1]Raw Data'!$B$2:$O$102,4,FALSE)</f>
        <v>246</v>
      </c>
      <c r="J34" s="17"/>
      <c r="K34" s="17"/>
      <c r="L34" s="17">
        <f>VLOOKUP("AR, E",'[1]Raw Data'!$B$2:$O$102,5,FALSE)</f>
        <v>134</v>
      </c>
      <c r="M34" s="17"/>
      <c r="N34" s="17"/>
      <c r="O34" s="17">
        <f>VLOOKUP("AR, E",'[1]Raw Data'!$B$2:$O$102,6,FALSE)</f>
        <v>311</v>
      </c>
    </row>
    <row r="35" spans="1:15" ht="13.5" customHeight="1" x14ac:dyDescent="0.25">
      <c r="A35" s="13"/>
      <c r="B35" s="13" t="s">
        <v>10</v>
      </c>
      <c r="C35" s="13"/>
      <c r="D35" s="13"/>
      <c r="E35" s="13"/>
      <c r="F35" s="17">
        <f>VLOOKUP("AR, E",'[1]Raw Data'!$B$2:$O$102,7,FALSE)</f>
        <v>73</v>
      </c>
      <c r="G35" s="17"/>
      <c r="H35" s="17"/>
      <c r="I35" s="17">
        <f>VLOOKUP("AR, E",'[1]Raw Data'!$B$2:$O$102,8,FALSE)</f>
        <v>25</v>
      </c>
      <c r="J35" s="17"/>
      <c r="K35" s="17"/>
      <c r="L35" s="17">
        <f>VLOOKUP("AR, E",'[1]Raw Data'!$B$2:$O$102,9,FALSE)</f>
        <v>52</v>
      </c>
      <c r="M35" s="17"/>
      <c r="N35" s="17"/>
      <c r="O35" s="17">
        <f>VLOOKUP("AR, E",'[1]Raw Data'!$B$2:$O$102,10,FALSE)</f>
        <v>46</v>
      </c>
    </row>
    <row r="36" spans="1:15" ht="13.5" customHeight="1" x14ac:dyDescent="0.25">
      <c r="A36" s="13"/>
      <c r="B36" s="13" t="s">
        <v>11</v>
      </c>
      <c r="C36" s="13"/>
      <c r="D36" s="13"/>
      <c r="E36" s="13"/>
      <c r="F36" s="17">
        <f>VLOOKUP("AR, E",'[1]Raw Data'!$B$2:$O$102,11,FALSE)</f>
        <v>290</v>
      </c>
      <c r="G36" s="17"/>
      <c r="H36" s="17"/>
      <c r="I36" s="17">
        <f>VLOOKUP("AR, E",'[1]Raw Data'!$B$2:$O$102,12,FALSE)</f>
        <v>322</v>
      </c>
      <c r="J36" s="17"/>
      <c r="K36" s="17"/>
      <c r="L36" s="17">
        <f>VLOOKUP("AR, E",'[1]Raw Data'!$B$2:$O$102,13,FALSE)</f>
        <v>405</v>
      </c>
      <c r="M36" s="17"/>
      <c r="N36" s="17"/>
      <c r="O36" s="17">
        <f>VLOOKUP("AR, E",'[1]Raw Data'!$B$2:$O$102,14,FALSE)</f>
        <v>207</v>
      </c>
    </row>
    <row r="37" spans="1:15" ht="12" customHeight="1" x14ac:dyDescent="0.25">
      <c r="E37" s="13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3.5" customHeight="1" x14ac:dyDescent="0.25">
      <c r="A38" s="13"/>
      <c r="B38" s="13"/>
      <c r="C38" s="18" t="str">
        <f>IF(VLOOKUP("AR, W",'[1]Raw Data'!$B$2:$O$102,2,FALSE)="CDO","AR, W"&amp;" "&amp;CHAR(178),"AR, W")</f>
        <v>AR, W</v>
      </c>
      <c r="D38" s="13"/>
      <c r="F38" s="15">
        <f>SUM(F39:F41)</f>
        <v>203</v>
      </c>
      <c r="G38" s="15"/>
      <c r="H38" s="15"/>
      <c r="I38" s="15">
        <f>SUM(I39:I41)</f>
        <v>257</v>
      </c>
      <c r="J38" s="15"/>
      <c r="K38" s="15"/>
      <c r="L38" s="15">
        <f>SUM(L39:L41)</f>
        <v>286</v>
      </c>
      <c r="M38" s="15"/>
      <c r="N38" s="15"/>
      <c r="O38" s="15">
        <f>SUM(O39:O41)</f>
        <v>178</v>
      </c>
    </row>
    <row r="39" spans="1:15" ht="13.5" customHeight="1" x14ac:dyDescent="0.25">
      <c r="A39" s="13"/>
      <c r="B39" s="13" t="s">
        <v>9</v>
      </c>
      <c r="C39" s="13"/>
      <c r="D39" s="13"/>
      <c r="E39" s="13"/>
      <c r="F39" s="17">
        <f>VLOOKUP("AR, W",'[1]Raw Data'!$B$2:$O$102,3,FALSE)</f>
        <v>95</v>
      </c>
      <c r="G39" s="17"/>
      <c r="H39" s="17"/>
      <c r="I39" s="17">
        <f>VLOOKUP("AR, W",'[1]Raw Data'!$B$2:$O$102,4,FALSE)</f>
        <v>148</v>
      </c>
      <c r="J39" s="17"/>
      <c r="K39" s="17"/>
      <c r="L39" s="17">
        <f>VLOOKUP("AR, W",'[1]Raw Data'!$B$2:$O$102,5,FALSE)</f>
        <v>156</v>
      </c>
      <c r="M39" s="17"/>
      <c r="N39" s="17"/>
      <c r="O39" s="17">
        <f>VLOOKUP("AR, W",'[1]Raw Data'!$B$2:$O$102,6,FALSE)</f>
        <v>88</v>
      </c>
    </row>
    <row r="40" spans="1:15" ht="13.5" customHeight="1" x14ac:dyDescent="0.25">
      <c r="A40" s="13"/>
      <c r="B40" s="13" t="s">
        <v>10</v>
      </c>
      <c r="C40" s="13"/>
      <c r="D40" s="13"/>
      <c r="E40" s="13"/>
      <c r="F40" s="17">
        <f>VLOOKUP("AR, W",'[1]Raw Data'!$B$2:$O$102,7,FALSE)</f>
        <v>68</v>
      </c>
      <c r="G40" s="17"/>
      <c r="H40" s="17"/>
      <c r="I40" s="17">
        <f>VLOOKUP("AR, W",'[1]Raw Data'!$B$2:$O$102,8,FALSE)</f>
        <v>29</v>
      </c>
      <c r="J40" s="17"/>
      <c r="K40" s="17"/>
      <c r="L40" s="17">
        <f>VLOOKUP("AR, W",'[1]Raw Data'!$B$2:$O$102,9,FALSE)</f>
        <v>63</v>
      </c>
      <c r="M40" s="17"/>
      <c r="N40" s="17"/>
      <c r="O40" s="17">
        <f>VLOOKUP("AR, W",'[1]Raw Data'!$B$2:$O$102,10,FALSE)</f>
        <v>35</v>
      </c>
    </row>
    <row r="41" spans="1:15" ht="13.5" customHeight="1" x14ac:dyDescent="0.25">
      <c r="A41" s="13"/>
      <c r="B41" s="13" t="s">
        <v>11</v>
      </c>
      <c r="C41" s="13"/>
      <c r="D41" s="13"/>
      <c r="E41" s="13"/>
      <c r="F41" s="17">
        <f>VLOOKUP("AR, W",'[1]Raw Data'!$B$2:$O$102,11,FALSE)</f>
        <v>40</v>
      </c>
      <c r="G41" s="17"/>
      <c r="H41" s="17"/>
      <c r="I41" s="17">
        <f>VLOOKUP("AR, W",'[1]Raw Data'!$B$2:$O$102,12,FALSE)</f>
        <v>80</v>
      </c>
      <c r="J41" s="17"/>
      <c r="K41" s="17"/>
      <c r="L41" s="17">
        <f>VLOOKUP("AR, W",'[1]Raw Data'!$B$2:$O$102,13,FALSE)</f>
        <v>67</v>
      </c>
      <c r="M41" s="17"/>
      <c r="N41" s="17"/>
      <c r="O41" s="17">
        <f>VLOOKUP("AR, W",'[1]Raw Data'!$B$2:$O$102,14,FALSE)</f>
        <v>55</v>
      </c>
    </row>
    <row r="42" spans="1:15" ht="12" customHeight="1" x14ac:dyDescent="0.25">
      <c r="E42" s="13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3.5" customHeight="1" x14ac:dyDescent="0.25">
      <c r="A43" s="13"/>
      <c r="B43" s="13"/>
      <c r="C43" s="18" t="str">
        <f>IF(VLOOKUP("AZ",'[1]Raw Data'!$B$2:$O$102,2,FALSE)="CDO","AZ"&amp;" "&amp;CHAR(178),"AZ")</f>
        <v>AZ</v>
      </c>
      <c r="D43" s="13"/>
      <c r="F43" s="15">
        <f>SUM(F44:F46)</f>
        <v>1801</v>
      </c>
      <c r="G43" s="15"/>
      <c r="H43" s="15"/>
      <c r="I43" s="15">
        <f>SUM(I44:I46)</f>
        <v>5746</v>
      </c>
      <c r="J43" s="15"/>
      <c r="K43" s="15"/>
      <c r="L43" s="15">
        <f>SUM(L44:L46)</f>
        <v>5894</v>
      </c>
      <c r="M43" s="15"/>
      <c r="N43" s="15"/>
      <c r="O43" s="15">
        <f>SUM(O44:O46)</f>
        <v>1654</v>
      </c>
    </row>
    <row r="44" spans="1:15" ht="13.5" customHeight="1" x14ac:dyDescent="0.25">
      <c r="A44" s="13"/>
      <c r="B44" s="13" t="s">
        <v>9</v>
      </c>
      <c r="C44" s="13"/>
      <c r="D44" s="13"/>
      <c r="E44" s="13"/>
      <c r="F44" s="17">
        <f>VLOOKUP("AZ",'[1]Raw Data'!$B$2:$O$102,3,FALSE)</f>
        <v>862</v>
      </c>
      <c r="G44" s="17"/>
      <c r="H44" s="17"/>
      <c r="I44" s="17">
        <f>VLOOKUP("AZ",'[1]Raw Data'!$B$2:$O$102,4,FALSE)</f>
        <v>4314</v>
      </c>
      <c r="J44" s="17"/>
      <c r="K44" s="17"/>
      <c r="L44" s="17">
        <f>VLOOKUP("AZ",'[1]Raw Data'!$B$2:$O$102,5,FALSE)</f>
        <v>4157</v>
      </c>
      <c r="M44" s="17"/>
      <c r="N44" s="17"/>
      <c r="O44" s="17">
        <f>VLOOKUP("AZ",'[1]Raw Data'!$B$2:$O$102,6,FALSE)</f>
        <v>1022</v>
      </c>
    </row>
    <row r="45" spans="1:15" ht="13.5" customHeight="1" x14ac:dyDescent="0.25">
      <c r="A45" s="13"/>
      <c r="B45" s="13" t="s">
        <v>10</v>
      </c>
      <c r="C45" s="13"/>
      <c r="D45" s="13"/>
      <c r="E45" s="13"/>
      <c r="F45" s="17">
        <f>VLOOKUP("AZ",'[1]Raw Data'!$B$2:$O$102,7,FALSE)</f>
        <v>117</v>
      </c>
      <c r="G45" s="17"/>
      <c r="H45" s="17"/>
      <c r="I45" s="17">
        <f>VLOOKUP("AZ",'[1]Raw Data'!$B$2:$O$102,8,FALSE)</f>
        <v>92</v>
      </c>
      <c r="J45" s="17"/>
      <c r="K45" s="17"/>
      <c r="L45" s="17">
        <f>VLOOKUP("AZ",'[1]Raw Data'!$B$2:$O$102,9,FALSE)</f>
        <v>89</v>
      </c>
      <c r="M45" s="17"/>
      <c r="N45" s="17"/>
      <c r="O45" s="17">
        <f>VLOOKUP("AZ",'[1]Raw Data'!$B$2:$O$102,10,FALSE)</f>
        <v>120</v>
      </c>
    </row>
    <row r="46" spans="1:15" ht="13.5" customHeight="1" x14ac:dyDescent="0.25">
      <c r="A46" s="13"/>
      <c r="B46" s="13" t="s">
        <v>11</v>
      </c>
      <c r="C46" s="13"/>
      <c r="D46" s="13"/>
      <c r="E46" s="13"/>
      <c r="F46" s="17">
        <f>VLOOKUP("AZ",'[1]Raw Data'!$B$2:$O$102,11,FALSE)</f>
        <v>822</v>
      </c>
      <c r="G46" s="17"/>
      <c r="H46" s="17"/>
      <c r="I46" s="17">
        <f>VLOOKUP("AZ",'[1]Raw Data'!$B$2:$O$102,12,FALSE)</f>
        <v>1340</v>
      </c>
      <c r="J46" s="17"/>
      <c r="K46" s="17"/>
      <c r="L46" s="17">
        <f>VLOOKUP("AZ",'[1]Raw Data'!$B$2:$O$102,13,FALSE)</f>
        <v>1648</v>
      </c>
      <c r="M46" s="17"/>
      <c r="N46" s="17"/>
      <c r="O46" s="17">
        <f>VLOOKUP("AZ",'[1]Raw Data'!$B$2:$O$102,14,FALSE)</f>
        <v>512</v>
      </c>
    </row>
    <row r="47" spans="1:15" ht="12" customHeight="1" x14ac:dyDescent="0.25">
      <c r="E47" s="13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ht="13.5" customHeight="1" x14ac:dyDescent="0.25">
      <c r="A48" s="13"/>
      <c r="B48" s="13"/>
      <c r="C48" s="18" t="str">
        <f>IF(VLOOKUP("CA, C",'[1]Raw Data'!$B$2:$O$102,2,FALSE)="CDO","CA, C"&amp;" "&amp;CHAR(178),"CA, C")</f>
        <v>CA, C</v>
      </c>
      <c r="D48" s="13"/>
      <c r="F48" s="15">
        <f>SUM(F49:F51)</f>
        <v>3863</v>
      </c>
      <c r="G48" s="15"/>
      <c r="H48" s="15"/>
      <c r="I48" s="15">
        <f>SUM(I49:I51)</f>
        <v>4039</v>
      </c>
      <c r="J48" s="15"/>
      <c r="K48" s="15"/>
      <c r="L48" s="15">
        <f>SUM(L49:L51)</f>
        <v>4661</v>
      </c>
      <c r="M48" s="15"/>
      <c r="N48" s="15"/>
      <c r="O48" s="15">
        <f>SUM(O49:O51)</f>
        <v>3240</v>
      </c>
    </row>
    <row r="49" spans="1:15" ht="13.5" customHeight="1" x14ac:dyDescent="0.25">
      <c r="A49" s="13"/>
      <c r="B49" s="13" t="s">
        <v>9</v>
      </c>
      <c r="C49" s="13"/>
      <c r="D49" s="13"/>
      <c r="E49" s="13"/>
      <c r="F49" s="17">
        <f>VLOOKUP("CA, C",'[1]Raw Data'!$B$2:$O$102,3,FALSE)</f>
        <v>721</v>
      </c>
      <c r="G49" s="17"/>
      <c r="H49" s="17"/>
      <c r="I49" s="17">
        <f>VLOOKUP("CA, C",'[1]Raw Data'!$B$2:$O$102,4,FALSE)</f>
        <v>1234</v>
      </c>
      <c r="J49" s="17"/>
      <c r="K49" s="17"/>
      <c r="L49" s="17">
        <f>VLOOKUP("CA, C",'[1]Raw Data'!$B$2:$O$102,5,FALSE)</f>
        <v>1180</v>
      </c>
      <c r="M49" s="17"/>
      <c r="N49" s="17"/>
      <c r="O49" s="17">
        <f>VLOOKUP("CA, C",'[1]Raw Data'!$B$2:$O$102,6,FALSE)</f>
        <v>774</v>
      </c>
    </row>
    <row r="50" spans="1:15" ht="13.5" customHeight="1" x14ac:dyDescent="0.25">
      <c r="A50" s="13"/>
      <c r="B50" s="13" t="s">
        <v>10</v>
      </c>
      <c r="C50" s="13"/>
      <c r="D50" s="13"/>
      <c r="E50" s="13"/>
      <c r="F50" s="17">
        <f>VLOOKUP("CA, C",'[1]Raw Data'!$B$2:$O$102,7,FALSE)</f>
        <v>494</v>
      </c>
      <c r="G50" s="17"/>
      <c r="H50" s="17"/>
      <c r="I50" s="17">
        <f>VLOOKUP("CA, C",'[1]Raw Data'!$B$2:$O$102,8,FALSE)</f>
        <v>316</v>
      </c>
      <c r="J50" s="17"/>
      <c r="K50" s="17"/>
      <c r="L50" s="17">
        <f>VLOOKUP("CA, C",'[1]Raw Data'!$B$2:$O$102,9,FALSE)</f>
        <v>226</v>
      </c>
      <c r="M50" s="17"/>
      <c r="N50" s="17"/>
      <c r="O50" s="17">
        <f>VLOOKUP("CA, C",'[1]Raw Data'!$B$2:$O$102,10,FALSE)</f>
        <v>570</v>
      </c>
    </row>
    <row r="51" spans="1:15" ht="13.5" customHeight="1" x14ac:dyDescent="0.25">
      <c r="A51" s="13"/>
      <c r="B51" s="13" t="s">
        <v>11</v>
      </c>
      <c r="C51" s="13"/>
      <c r="D51" s="13"/>
      <c r="E51" s="13"/>
      <c r="F51" s="17">
        <f>VLOOKUP("CA, C",'[1]Raw Data'!$B$2:$O$102,11,FALSE)</f>
        <v>2648</v>
      </c>
      <c r="G51" s="17"/>
      <c r="H51" s="17"/>
      <c r="I51" s="17">
        <f>VLOOKUP("CA, C",'[1]Raw Data'!$B$2:$O$102,12,FALSE)</f>
        <v>2489</v>
      </c>
      <c r="J51" s="17"/>
      <c r="K51" s="17"/>
      <c r="L51" s="17">
        <f>VLOOKUP("CA, C",'[1]Raw Data'!$B$2:$O$102,13,FALSE)</f>
        <v>3255</v>
      </c>
      <c r="M51" s="17"/>
      <c r="N51" s="17"/>
      <c r="O51" s="17">
        <f>VLOOKUP("CA, C",'[1]Raw Data'!$B$2:$O$102,14,FALSE)</f>
        <v>1896</v>
      </c>
    </row>
    <row r="52" spans="1:15" ht="12" customHeight="1" x14ac:dyDescent="0.25">
      <c r="E52" s="13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ht="13.5" customHeight="1" x14ac:dyDescent="0.25">
      <c r="A53" s="13"/>
      <c r="B53" s="13"/>
      <c r="C53" s="18" t="str">
        <f>IF(VLOOKUP("CA, E",'[1]Raw Data'!$B$2:$O$102,2,FALSE)="CDO","CA, E"&amp;" "&amp;CHAR(178),"CA, E")</f>
        <v>CA, E</v>
      </c>
      <c r="D53" s="13"/>
      <c r="F53" s="15">
        <f>SUM(F54:F56)</f>
        <v>695</v>
      </c>
      <c r="G53" s="15"/>
      <c r="H53" s="15"/>
      <c r="I53" s="15">
        <f>SUM(I54:I56)</f>
        <v>1308</v>
      </c>
      <c r="J53" s="15"/>
      <c r="K53" s="15"/>
      <c r="L53" s="15">
        <f>SUM(L54:L56)</f>
        <v>1364</v>
      </c>
      <c r="M53" s="15"/>
      <c r="N53" s="15"/>
      <c r="O53" s="15">
        <f>SUM(O54:O56)</f>
        <v>640</v>
      </c>
    </row>
    <row r="54" spans="1:15" ht="13.5" customHeight="1" x14ac:dyDescent="0.25">
      <c r="A54" s="13"/>
      <c r="B54" s="13" t="s">
        <v>9</v>
      </c>
      <c r="C54" s="13"/>
      <c r="D54" s="13"/>
      <c r="E54" s="13"/>
      <c r="F54" s="17">
        <f>VLOOKUP("CA, E",'[1]Raw Data'!$B$2:$O$102,3,FALSE)</f>
        <v>293</v>
      </c>
      <c r="G54" s="17"/>
      <c r="H54" s="17"/>
      <c r="I54" s="17">
        <f>VLOOKUP("CA, E",'[1]Raw Data'!$B$2:$O$102,4,FALSE)</f>
        <v>667</v>
      </c>
      <c r="J54" s="17"/>
      <c r="K54" s="17"/>
      <c r="L54" s="17">
        <f>VLOOKUP("CA, E",'[1]Raw Data'!$B$2:$O$102,5,FALSE)</f>
        <v>646</v>
      </c>
      <c r="M54" s="17"/>
      <c r="N54" s="17"/>
      <c r="O54" s="17">
        <f>VLOOKUP("CA, E",'[1]Raw Data'!$B$2:$O$102,6,FALSE)</f>
        <v>314</v>
      </c>
    </row>
    <row r="55" spans="1:15" ht="13.5" customHeight="1" x14ac:dyDescent="0.25">
      <c r="A55" s="13"/>
      <c r="B55" s="13" t="s">
        <v>10</v>
      </c>
      <c r="C55" s="13"/>
      <c r="D55" s="13"/>
      <c r="E55" s="13"/>
      <c r="F55" s="17">
        <f>VLOOKUP("CA, E",'[1]Raw Data'!$B$2:$O$102,7,FALSE)</f>
        <v>134</v>
      </c>
      <c r="G55" s="17"/>
      <c r="H55" s="17"/>
      <c r="I55" s="17">
        <f>VLOOKUP("CA, E",'[1]Raw Data'!$B$2:$O$102,8,FALSE)</f>
        <v>53</v>
      </c>
      <c r="J55" s="17"/>
      <c r="K55" s="17"/>
      <c r="L55" s="17">
        <f>VLOOKUP("CA, E",'[1]Raw Data'!$B$2:$O$102,9,FALSE)</f>
        <v>90</v>
      </c>
      <c r="M55" s="17"/>
      <c r="N55" s="17"/>
      <c r="O55" s="17">
        <f>VLOOKUP("CA, E",'[1]Raw Data'!$B$2:$O$102,10,FALSE)</f>
        <v>97</v>
      </c>
    </row>
    <row r="56" spans="1:15" ht="13.5" customHeight="1" x14ac:dyDescent="0.25">
      <c r="A56" s="13"/>
      <c r="B56" s="13" t="s">
        <v>11</v>
      </c>
      <c r="C56" s="13"/>
      <c r="D56" s="13"/>
      <c r="E56" s="13"/>
      <c r="F56" s="17">
        <f>VLOOKUP("CA, E",'[1]Raw Data'!$B$2:$O$102,11,FALSE)</f>
        <v>268</v>
      </c>
      <c r="G56" s="17"/>
      <c r="H56" s="17"/>
      <c r="I56" s="17">
        <f>VLOOKUP("CA, E",'[1]Raw Data'!$B$2:$O$102,12,FALSE)</f>
        <v>588</v>
      </c>
      <c r="J56" s="17"/>
      <c r="K56" s="17"/>
      <c r="L56" s="17">
        <f>VLOOKUP("CA, E",'[1]Raw Data'!$B$2:$O$102,13,FALSE)</f>
        <v>628</v>
      </c>
      <c r="M56" s="17"/>
      <c r="N56" s="17"/>
      <c r="O56" s="17">
        <f>VLOOKUP("CA, E",'[1]Raw Data'!$B$2:$O$102,14,FALSE)</f>
        <v>229</v>
      </c>
    </row>
    <row r="57" spans="1:15" ht="12" customHeight="1" x14ac:dyDescent="0.25">
      <c r="E57" s="13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 ht="13.5" customHeight="1" x14ac:dyDescent="0.25">
      <c r="A58" s="13"/>
      <c r="B58" s="13"/>
      <c r="C58" s="18" t="str">
        <f>IF(VLOOKUP("CA, N",'[1]Raw Data'!$B$2:$O$102,2,FALSE)="CDO","CA, N"&amp;" "&amp;CHAR(178),"CA, N")</f>
        <v>CA, N</v>
      </c>
      <c r="D58" s="13"/>
      <c r="F58" s="15">
        <f>SUM(F59:F61)</f>
        <v>1399</v>
      </c>
      <c r="G58" s="15"/>
      <c r="H58" s="15"/>
      <c r="I58" s="15">
        <f>SUM(I59:I61)</f>
        <v>2083</v>
      </c>
      <c r="J58" s="15"/>
      <c r="K58" s="15"/>
      <c r="L58" s="15">
        <f>SUM(L59:L61)</f>
        <v>2867</v>
      </c>
      <c r="M58" s="15"/>
      <c r="N58" s="15"/>
      <c r="O58" s="15">
        <f>SUM(O59:O61)</f>
        <v>615</v>
      </c>
    </row>
    <row r="59" spans="1:15" ht="13.5" customHeight="1" x14ac:dyDescent="0.25">
      <c r="A59" s="13"/>
      <c r="B59" s="13" t="s">
        <v>9</v>
      </c>
      <c r="C59" s="13"/>
      <c r="D59" s="13"/>
      <c r="E59" s="13"/>
      <c r="F59" s="17">
        <f>VLOOKUP("CA, N",'[1]Raw Data'!$B$2:$O$102,3,FALSE)</f>
        <v>973</v>
      </c>
      <c r="G59" s="17"/>
      <c r="H59" s="17"/>
      <c r="I59" s="17">
        <f>VLOOKUP("CA, N",'[1]Raw Data'!$B$2:$O$102,4,FALSE)</f>
        <v>1407</v>
      </c>
      <c r="J59" s="17"/>
      <c r="K59" s="17"/>
      <c r="L59" s="17">
        <f>VLOOKUP("CA, N",'[1]Raw Data'!$B$2:$O$102,5,FALSE)</f>
        <v>2083</v>
      </c>
      <c r="M59" s="17"/>
      <c r="N59" s="17"/>
      <c r="O59" s="17">
        <f>VLOOKUP("CA, N",'[1]Raw Data'!$B$2:$O$102,6,FALSE)</f>
        <v>297</v>
      </c>
    </row>
    <row r="60" spans="1:15" ht="13.5" customHeight="1" x14ac:dyDescent="0.25">
      <c r="A60" s="13"/>
      <c r="B60" s="13" t="s">
        <v>10</v>
      </c>
      <c r="C60" s="13"/>
      <c r="D60" s="13"/>
      <c r="E60" s="13"/>
      <c r="F60" s="17">
        <f>VLOOKUP("CA, N",'[1]Raw Data'!$B$2:$O$102,7,FALSE)</f>
        <v>142</v>
      </c>
      <c r="G60" s="17"/>
      <c r="H60" s="17"/>
      <c r="I60" s="17">
        <f>VLOOKUP("CA, N",'[1]Raw Data'!$B$2:$O$102,8,FALSE)</f>
        <v>68</v>
      </c>
      <c r="J60" s="17"/>
      <c r="K60" s="17"/>
      <c r="L60" s="17">
        <f>VLOOKUP("CA, N",'[1]Raw Data'!$B$2:$O$102,9,FALSE)</f>
        <v>137</v>
      </c>
      <c r="M60" s="17"/>
      <c r="N60" s="17"/>
      <c r="O60" s="17">
        <f>VLOOKUP("CA, N",'[1]Raw Data'!$B$2:$O$102,10,FALSE)</f>
        <v>73</v>
      </c>
    </row>
    <row r="61" spans="1:15" ht="13.5" customHeight="1" x14ac:dyDescent="0.25">
      <c r="A61" s="13"/>
      <c r="B61" s="13" t="s">
        <v>11</v>
      </c>
      <c r="C61" s="13"/>
      <c r="D61" s="13"/>
      <c r="E61" s="13"/>
      <c r="F61" s="17">
        <f>VLOOKUP("CA, N",'[1]Raw Data'!$B$2:$O$102,11,FALSE)</f>
        <v>284</v>
      </c>
      <c r="G61" s="17"/>
      <c r="H61" s="17"/>
      <c r="I61" s="17">
        <f>VLOOKUP("CA, N",'[1]Raw Data'!$B$2:$O$102,12,FALSE)</f>
        <v>608</v>
      </c>
      <c r="J61" s="17"/>
      <c r="K61" s="17"/>
      <c r="L61" s="17">
        <f>VLOOKUP("CA, N",'[1]Raw Data'!$B$2:$O$102,13,FALSE)</f>
        <v>647</v>
      </c>
      <c r="M61" s="17"/>
      <c r="N61" s="17"/>
      <c r="O61" s="17">
        <f>VLOOKUP("CA, N",'[1]Raw Data'!$B$2:$O$102,14,FALSE)</f>
        <v>245</v>
      </c>
    </row>
    <row r="62" spans="1:15" ht="12" customHeight="1" x14ac:dyDescent="0.25">
      <c r="E62" s="13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ht="13.5" customHeight="1" x14ac:dyDescent="0.25">
      <c r="A63" s="13"/>
      <c r="B63" s="13"/>
      <c r="C63" s="18" t="str">
        <f>IF(VLOOKUP("CA, S",'[1]Raw Data'!$B$2:$O$102,2,FALSE)="CDO","CA, S"&amp;" "&amp;CHAR(178),"CA, S")</f>
        <v>CA, S ²</v>
      </c>
      <c r="D63" s="13"/>
      <c r="F63" s="15">
        <f>SUM(F64:F66)</f>
        <v>2229</v>
      </c>
      <c r="G63" s="15"/>
      <c r="H63" s="15"/>
      <c r="I63" s="15">
        <f>SUM(I64:I66)</f>
        <v>6489</v>
      </c>
      <c r="J63" s="15"/>
      <c r="K63" s="15"/>
      <c r="L63" s="15">
        <f>SUM(L64:L66)</f>
        <v>5684</v>
      </c>
      <c r="M63" s="15"/>
      <c r="N63" s="15"/>
      <c r="O63" s="15">
        <f>SUM(O64:O66)</f>
        <v>3034</v>
      </c>
    </row>
    <row r="64" spans="1:15" ht="13.5" customHeight="1" x14ac:dyDescent="0.25">
      <c r="A64" s="13"/>
      <c r="B64" s="13" t="s">
        <v>9</v>
      </c>
      <c r="C64" s="13"/>
      <c r="D64" s="13"/>
      <c r="E64" s="13"/>
      <c r="F64" s="17">
        <f>VLOOKUP("CA, S",'[1]Raw Data'!$B$2:$O$102,3,FALSE)</f>
        <v>1336</v>
      </c>
      <c r="G64" s="17"/>
      <c r="H64" s="17"/>
      <c r="I64" s="17">
        <f>VLOOKUP("CA, S",'[1]Raw Data'!$B$2:$O$102,4,FALSE)</f>
        <v>2549</v>
      </c>
      <c r="J64" s="17"/>
      <c r="K64" s="17"/>
      <c r="L64" s="17">
        <f>VLOOKUP("CA, S",'[1]Raw Data'!$B$2:$O$102,5,FALSE)</f>
        <v>1752</v>
      </c>
      <c r="M64" s="17"/>
      <c r="N64" s="17"/>
      <c r="O64" s="17">
        <f>VLOOKUP("CA, S",'[1]Raw Data'!$B$2:$O$102,6,FALSE)</f>
        <v>2132</v>
      </c>
    </row>
    <row r="65" spans="1:15" ht="13.5" customHeight="1" x14ac:dyDescent="0.25">
      <c r="A65" s="13"/>
      <c r="B65" s="13" t="s">
        <v>10</v>
      </c>
      <c r="C65" s="13"/>
      <c r="D65" s="13"/>
      <c r="E65" s="13"/>
      <c r="F65" s="17">
        <f>VLOOKUP("CA, S",'[1]Raw Data'!$B$2:$O$102,7,FALSE)</f>
        <v>364</v>
      </c>
      <c r="G65" s="17"/>
      <c r="H65" s="17"/>
      <c r="I65" s="17">
        <f>VLOOKUP("CA, S",'[1]Raw Data'!$B$2:$O$102,8,FALSE)</f>
        <v>151</v>
      </c>
      <c r="J65" s="17"/>
      <c r="K65" s="17"/>
      <c r="L65" s="17">
        <f>VLOOKUP("CA, S",'[1]Raw Data'!$B$2:$O$102,9,FALSE)</f>
        <v>151</v>
      </c>
      <c r="M65" s="17"/>
      <c r="N65" s="17"/>
      <c r="O65" s="17">
        <f>VLOOKUP("CA, S",'[1]Raw Data'!$B$2:$O$102,10,FALSE)</f>
        <v>364</v>
      </c>
    </row>
    <row r="66" spans="1:15" ht="13.5" customHeight="1" x14ac:dyDescent="0.25">
      <c r="A66" s="13"/>
      <c r="B66" s="13" t="s">
        <v>11</v>
      </c>
      <c r="C66" s="13"/>
      <c r="D66" s="13"/>
      <c r="E66" s="13"/>
      <c r="F66" s="17">
        <f>VLOOKUP("CA, S",'[1]Raw Data'!$B$2:$O$102,11,FALSE)</f>
        <v>529</v>
      </c>
      <c r="G66" s="17"/>
      <c r="H66" s="17"/>
      <c r="I66" s="17">
        <f>VLOOKUP("CA, S",'[1]Raw Data'!$B$2:$O$102,12,FALSE)</f>
        <v>3789</v>
      </c>
      <c r="J66" s="17"/>
      <c r="K66" s="17"/>
      <c r="L66" s="17">
        <f>VLOOKUP("CA, S",'[1]Raw Data'!$B$2:$O$102,13,FALSE)</f>
        <v>3781</v>
      </c>
      <c r="M66" s="17"/>
      <c r="N66" s="17"/>
      <c r="O66" s="17">
        <f>VLOOKUP("CA, S",'[1]Raw Data'!$B$2:$O$102,14,FALSE)</f>
        <v>538</v>
      </c>
    </row>
    <row r="67" spans="1:15" ht="12" customHeight="1" x14ac:dyDescent="0.25"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3.5" customHeight="1" x14ac:dyDescent="0.25">
      <c r="A68" s="13"/>
      <c r="B68" s="13"/>
      <c r="C68" s="18" t="str">
        <f>IF(VLOOKUP("TOT: CO/WY",'[1]Raw Data'!$B$2:$O$102,2,FALSE)="CDO","TOT: CO/WY"&amp;" "&amp;CHAR(178),"TOT: CO/WY")</f>
        <v>TOT: CO/WY</v>
      </c>
      <c r="D68" s="13"/>
      <c r="F68" s="15">
        <f>IF(SUM(F69:F71)-SUM(F73,F78)=0,SUM(F69:F71),999999999)</f>
        <v>582</v>
      </c>
      <c r="G68" s="15"/>
      <c r="H68" s="15"/>
      <c r="I68" s="15">
        <f>IF(SUM(I69:I71)-SUM(I73,I78)=0,SUM(I69:I71),999999999)</f>
        <v>1333</v>
      </c>
      <c r="J68" s="15"/>
      <c r="K68" s="15"/>
      <c r="L68" s="15">
        <f>IF(SUM(L69:L71)-SUM(L73,L78)=0,SUM(L69:L71),999999999)</f>
        <v>1387</v>
      </c>
      <c r="M68" s="15"/>
      <c r="N68" s="15"/>
      <c r="O68" s="15">
        <f>IF(SUM(O69:O71)-SUM(O73,O78)=0,SUM(O69:O71),999999999)</f>
        <v>528</v>
      </c>
    </row>
    <row r="69" spans="1:15" ht="13.5" customHeight="1" x14ac:dyDescent="0.25">
      <c r="A69" s="13"/>
      <c r="B69" s="13" t="s">
        <v>9</v>
      </c>
      <c r="C69" s="13"/>
      <c r="D69" s="13"/>
      <c r="E69" s="13"/>
      <c r="F69" s="17">
        <f>VLOOKUP("TOT: CO/WY",'[1]Raw Data'!$B$2:$O$102,3,FALSE)</f>
        <v>243</v>
      </c>
      <c r="G69" s="17"/>
      <c r="H69" s="17"/>
      <c r="I69" s="17">
        <f>VLOOKUP("TOT: CO/WY",'[1]Raw Data'!$B$2:$O$102,4,FALSE)</f>
        <v>631</v>
      </c>
      <c r="J69" s="17"/>
      <c r="K69" s="17"/>
      <c r="L69" s="17">
        <f>VLOOKUP("TOT: CO/WY",'[1]Raw Data'!$B$2:$O$102,5,FALSE)</f>
        <v>610</v>
      </c>
      <c r="M69" s="17"/>
      <c r="N69" s="17"/>
      <c r="O69" s="17">
        <f>VLOOKUP("TOT: CO/WY",'[1]Raw Data'!$B$2:$O$102,6,FALSE)</f>
        <v>264</v>
      </c>
    </row>
    <row r="70" spans="1:15" ht="13.5" customHeight="1" x14ac:dyDescent="0.25">
      <c r="A70" s="13"/>
      <c r="B70" s="13" t="s">
        <v>10</v>
      </c>
      <c r="C70" s="13"/>
      <c r="D70" s="13"/>
      <c r="E70" s="13"/>
      <c r="F70" s="17">
        <f>VLOOKUP("TOT: CO/WY",'[1]Raw Data'!$B$2:$O$102,7,FALSE)</f>
        <v>257</v>
      </c>
      <c r="G70" s="17"/>
      <c r="H70" s="17"/>
      <c r="I70" s="17">
        <f>VLOOKUP("TOT: CO/WY",'[1]Raw Data'!$B$2:$O$102,8,FALSE)</f>
        <v>142</v>
      </c>
      <c r="J70" s="17"/>
      <c r="K70" s="17"/>
      <c r="L70" s="17">
        <f>VLOOKUP("TOT: CO/WY",'[1]Raw Data'!$B$2:$O$102,9,FALSE)</f>
        <v>230</v>
      </c>
      <c r="M70" s="17"/>
      <c r="N70" s="17"/>
      <c r="O70" s="17">
        <f>VLOOKUP("TOT: CO/WY",'[1]Raw Data'!$B$2:$O$102,10,FALSE)</f>
        <v>169</v>
      </c>
    </row>
    <row r="71" spans="1:15" ht="13.5" customHeight="1" x14ac:dyDescent="0.25">
      <c r="A71" s="13"/>
      <c r="B71" s="13" t="s">
        <v>11</v>
      </c>
      <c r="C71" s="13"/>
      <c r="D71" s="13"/>
      <c r="E71" s="13"/>
      <c r="F71" s="17">
        <f>VLOOKUP("TOT: CO/WY",'[1]Raw Data'!$B$2:$O$102,11,FALSE)</f>
        <v>82</v>
      </c>
      <c r="G71" s="17"/>
      <c r="H71" s="17"/>
      <c r="I71" s="17">
        <f>VLOOKUP("TOT: CO/WY",'[1]Raw Data'!$B$2:$O$102,12,FALSE)</f>
        <v>560</v>
      </c>
      <c r="J71" s="17"/>
      <c r="K71" s="17"/>
      <c r="L71" s="17">
        <f>VLOOKUP("TOT: CO/WY",'[1]Raw Data'!$B$2:$O$102,13,FALSE)</f>
        <v>547</v>
      </c>
      <c r="M71" s="17"/>
      <c r="N71" s="17"/>
      <c r="O71" s="17">
        <f>VLOOKUP("TOT: CO/WY",'[1]Raw Data'!$B$2:$O$102,14,FALSE)</f>
        <v>95</v>
      </c>
    </row>
    <row r="72" spans="1:15" ht="12" customHeight="1" x14ac:dyDescent="0.25"/>
    <row r="73" spans="1:15" ht="13.5" customHeight="1" x14ac:dyDescent="0.25">
      <c r="A73" s="13"/>
      <c r="B73" s="13"/>
      <c r="C73" s="18" t="str">
        <f>IF(VLOOKUP("   CO",'[1]Raw Data'!$B$2:$O$102,2,FALSE)="CDO","CO"&amp;" "&amp;CHAR(178),"CO")</f>
        <v>CO</v>
      </c>
      <c r="D73" s="13"/>
      <c r="F73" s="15">
        <f>SUM(F74:F76)</f>
        <v>470</v>
      </c>
      <c r="G73" s="15"/>
      <c r="H73" s="15"/>
      <c r="I73" s="15">
        <f>SUM(I74:I76)</f>
        <v>1061</v>
      </c>
      <c r="J73" s="15"/>
      <c r="K73" s="15"/>
      <c r="L73" s="15">
        <f>SUM(L74:L76)</f>
        <v>1075</v>
      </c>
      <c r="M73" s="15"/>
      <c r="N73" s="15"/>
      <c r="O73" s="15">
        <f>SUM(O74:O76)</f>
        <v>456</v>
      </c>
    </row>
    <row r="74" spans="1:15" ht="13.5" customHeight="1" x14ac:dyDescent="0.25">
      <c r="A74" s="13"/>
      <c r="B74" s="13" t="s">
        <v>9</v>
      </c>
      <c r="C74" s="13"/>
      <c r="D74" s="13"/>
      <c r="E74" s="13"/>
      <c r="F74" s="17">
        <f>VLOOKUP("   CO",'[1]Raw Data'!$B$2:$O$102,3,FALSE)</f>
        <v>190</v>
      </c>
      <c r="G74" s="17"/>
      <c r="H74" s="17"/>
      <c r="I74" s="17">
        <f>VLOOKUP("   CO",'[1]Raw Data'!$B$2:$O$102,4,FALSE)</f>
        <v>442</v>
      </c>
      <c r="J74" s="17"/>
      <c r="K74" s="17"/>
      <c r="L74" s="17">
        <f>VLOOKUP("   CO",'[1]Raw Data'!$B$2:$O$102,5,FALSE)</f>
        <v>421</v>
      </c>
      <c r="M74" s="17"/>
      <c r="N74" s="17"/>
      <c r="O74" s="17">
        <f>VLOOKUP("   CO",'[1]Raw Data'!$B$2:$O$102,6,FALSE)</f>
        <v>211</v>
      </c>
    </row>
    <row r="75" spans="1:15" ht="13.5" customHeight="1" x14ac:dyDescent="0.25">
      <c r="A75" s="13"/>
      <c r="B75" s="13" t="s">
        <v>10</v>
      </c>
      <c r="C75" s="13"/>
      <c r="D75" s="13"/>
      <c r="E75" s="13"/>
      <c r="F75" s="17">
        <f>VLOOKUP("   CO",'[1]Raw Data'!$B$2:$O$102,7,FALSE)</f>
        <v>205</v>
      </c>
      <c r="G75" s="17"/>
      <c r="H75" s="17"/>
      <c r="I75" s="17">
        <f>VLOOKUP("   CO",'[1]Raw Data'!$B$2:$O$102,8,FALSE)</f>
        <v>138</v>
      </c>
      <c r="J75" s="17"/>
      <c r="K75" s="17"/>
      <c r="L75" s="17">
        <f>VLOOKUP("   CO",'[1]Raw Data'!$B$2:$O$102,9,FALSE)</f>
        <v>187</v>
      </c>
      <c r="M75" s="17"/>
      <c r="N75" s="17"/>
      <c r="O75" s="17">
        <f>VLOOKUP("   CO",'[1]Raw Data'!$B$2:$O$102,10,FALSE)</f>
        <v>156</v>
      </c>
    </row>
    <row r="76" spans="1:15" ht="13.5" customHeight="1" x14ac:dyDescent="0.25">
      <c r="A76" s="13"/>
      <c r="B76" s="13" t="s">
        <v>11</v>
      </c>
      <c r="C76" s="13"/>
      <c r="D76" s="13"/>
      <c r="E76" s="13"/>
      <c r="F76" s="17">
        <f>VLOOKUP("   CO",'[1]Raw Data'!$B$2:$O$102,11,FALSE)</f>
        <v>75</v>
      </c>
      <c r="G76" s="17"/>
      <c r="H76" s="17"/>
      <c r="I76" s="17">
        <f>VLOOKUP("   CO",'[1]Raw Data'!$B$2:$O$102,12,FALSE)</f>
        <v>481</v>
      </c>
      <c r="J76" s="17"/>
      <c r="K76" s="17"/>
      <c r="L76" s="17">
        <f>VLOOKUP("   CO",'[1]Raw Data'!$B$2:$O$102,13,FALSE)</f>
        <v>467</v>
      </c>
      <c r="M76" s="17"/>
      <c r="N76" s="17"/>
      <c r="O76" s="17">
        <f>VLOOKUP("   CO",'[1]Raw Data'!$B$2:$O$102,14,FALSE)</f>
        <v>89</v>
      </c>
    </row>
    <row r="77" spans="1:15" ht="12" customHeight="1" x14ac:dyDescent="0.25"/>
    <row r="78" spans="1:15" ht="13.5" customHeight="1" x14ac:dyDescent="0.25">
      <c r="A78" s="13"/>
      <c r="B78" s="13"/>
      <c r="C78" s="18" t="str">
        <f>IF(VLOOKUP("   WY",'[1]Raw Data'!$B$2:$O$102,2,FALSE)="CDO","WY"&amp;" "&amp;CHAR(178),"WY")</f>
        <v>WY</v>
      </c>
      <c r="D78" s="13"/>
      <c r="F78" s="15">
        <f>SUM(F79:F81)</f>
        <v>112</v>
      </c>
      <c r="G78" s="15"/>
      <c r="H78" s="15"/>
      <c r="I78" s="15">
        <f>SUM(I79:I81)</f>
        <v>272</v>
      </c>
      <c r="J78" s="15"/>
      <c r="K78" s="15"/>
      <c r="L78" s="15">
        <f>SUM(L79:L81)</f>
        <v>312</v>
      </c>
      <c r="M78" s="15"/>
      <c r="N78" s="15"/>
      <c r="O78" s="15">
        <f>SUM(O79:O81)</f>
        <v>72</v>
      </c>
    </row>
    <row r="79" spans="1:15" ht="13.5" customHeight="1" x14ac:dyDescent="0.25">
      <c r="A79" s="13"/>
      <c r="B79" s="13" t="s">
        <v>9</v>
      </c>
      <c r="C79" s="13"/>
      <c r="D79" s="13"/>
      <c r="E79" s="13"/>
      <c r="F79" s="17">
        <f>VLOOKUP("   WY",'[1]Raw Data'!$B$2:$O$102,3,FALSE)</f>
        <v>53</v>
      </c>
      <c r="G79" s="17"/>
      <c r="H79" s="17"/>
      <c r="I79" s="17">
        <f>VLOOKUP("   WY",'[1]Raw Data'!$B$2:$O$102,4,FALSE)</f>
        <v>189</v>
      </c>
      <c r="J79" s="17"/>
      <c r="K79" s="17"/>
      <c r="L79" s="17">
        <f>VLOOKUP("   WY",'[1]Raw Data'!$B$2:$O$102,5,FALSE)</f>
        <v>189</v>
      </c>
      <c r="M79" s="17"/>
      <c r="N79" s="17"/>
      <c r="O79" s="17">
        <f>VLOOKUP("   WY",'[1]Raw Data'!$B$2:$O$102,6,FALSE)</f>
        <v>53</v>
      </c>
    </row>
    <row r="80" spans="1:15" ht="13.5" customHeight="1" x14ac:dyDescent="0.25">
      <c r="A80" s="13"/>
      <c r="B80" s="13" t="s">
        <v>10</v>
      </c>
      <c r="C80" s="13"/>
      <c r="D80" s="13"/>
      <c r="E80" s="13"/>
      <c r="F80" s="17">
        <f>VLOOKUP("   WY",'[1]Raw Data'!$B$2:$O$102,7,FALSE)</f>
        <v>52</v>
      </c>
      <c r="G80" s="17"/>
      <c r="H80" s="17"/>
      <c r="I80" s="17">
        <f>VLOOKUP("   WY",'[1]Raw Data'!$B$2:$O$102,8,FALSE)</f>
        <v>4</v>
      </c>
      <c r="J80" s="17"/>
      <c r="K80" s="17"/>
      <c r="L80" s="17">
        <f>VLOOKUP("   WY",'[1]Raw Data'!$B$2:$O$102,9,FALSE)</f>
        <v>43</v>
      </c>
      <c r="M80" s="17"/>
      <c r="N80" s="17"/>
      <c r="O80" s="17">
        <f>VLOOKUP("   WY",'[1]Raw Data'!$B$2:$O$102,10,FALSE)</f>
        <v>13</v>
      </c>
    </row>
    <row r="81" spans="1:15" ht="13.5" customHeight="1" x14ac:dyDescent="0.25">
      <c r="A81" s="13"/>
      <c r="B81" s="13" t="s">
        <v>11</v>
      </c>
      <c r="C81" s="13"/>
      <c r="D81" s="13"/>
      <c r="E81" s="13"/>
      <c r="F81" s="17">
        <f>VLOOKUP("   WY",'[1]Raw Data'!$B$2:$O$102,11,FALSE)</f>
        <v>7</v>
      </c>
      <c r="G81" s="17"/>
      <c r="H81" s="17"/>
      <c r="I81" s="17">
        <f>VLOOKUP("   WY",'[1]Raw Data'!$B$2:$O$102,12,FALSE)</f>
        <v>79</v>
      </c>
      <c r="J81" s="17"/>
      <c r="K81" s="17"/>
      <c r="L81" s="17">
        <f>VLOOKUP("   WY",'[1]Raw Data'!$B$2:$O$102,13,FALSE)</f>
        <v>80</v>
      </c>
      <c r="M81" s="17"/>
      <c r="N81" s="17"/>
      <c r="O81" s="17">
        <f>VLOOKUP("   WY",'[1]Raw Data'!$B$2:$O$102,14,FALSE)</f>
        <v>6</v>
      </c>
    </row>
    <row r="82" spans="1:15" ht="12" customHeight="1" x14ac:dyDescent="0.25"/>
    <row r="83" spans="1:15" ht="13.5" customHeight="1" x14ac:dyDescent="0.25">
      <c r="A83" s="13"/>
      <c r="B83" s="13"/>
      <c r="C83" s="18" t="str">
        <f>IF(VLOOKUP("CT",'[1]Raw Data'!$B$2:$O$102,2,FALSE)="CDO","CT"&amp;" "&amp;CHAR(178),"CT")</f>
        <v>CT</v>
      </c>
      <c r="D83" s="13"/>
      <c r="F83" s="15">
        <f>SUM(F84:F86)</f>
        <v>527</v>
      </c>
      <c r="G83" s="15"/>
      <c r="H83" s="15"/>
      <c r="I83" s="15">
        <f>SUM(I84:I86)</f>
        <v>590</v>
      </c>
      <c r="J83" s="15"/>
      <c r="K83" s="15"/>
      <c r="L83" s="15">
        <f>SUM(L84:L86)</f>
        <v>535</v>
      </c>
      <c r="M83" s="15"/>
      <c r="N83" s="15"/>
      <c r="O83" s="15">
        <f>SUM(O84:O86)</f>
        <v>582</v>
      </c>
    </row>
    <row r="84" spans="1:15" ht="13.5" customHeight="1" x14ac:dyDescent="0.25">
      <c r="A84" s="13"/>
      <c r="B84" s="13" t="s">
        <v>9</v>
      </c>
      <c r="C84" s="13"/>
      <c r="D84" s="13"/>
      <c r="E84" s="13"/>
      <c r="F84" s="17">
        <f>VLOOKUP("CT",'[1]Raw Data'!$B$2:$O$102,3,FALSE)</f>
        <v>163</v>
      </c>
      <c r="G84" s="17"/>
      <c r="H84" s="17"/>
      <c r="I84" s="17">
        <f>VLOOKUP("CT",'[1]Raw Data'!$B$2:$O$102,4,FALSE)</f>
        <v>176</v>
      </c>
      <c r="J84" s="17"/>
      <c r="K84" s="17"/>
      <c r="L84" s="17">
        <f>VLOOKUP("CT",'[1]Raw Data'!$B$2:$O$102,5,FALSE)</f>
        <v>159</v>
      </c>
      <c r="M84" s="17"/>
      <c r="N84" s="17"/>
      <c r="O84" s="17">
        <f>VLOOKUP("CT",'[1]Raw Data'!$B$2:$O$102,6,FALSE)</f>
        <v>180</v>
      </c>
    </row>
    <row r="85" spans="1:15" ht="13.5" customHeight="1" x14ac:dyDescent="0.25">
      <c r="A85" s="13"/>
      <c r="B85" s="13" t="s">
        <v>10</v>
      </c>
      <c r="C85" s="13"/>
      <c r="D85" s="13"/>
      <c r="E85" s="13"/>
      <c r="F85" s="17">
        <f>VLOOKUP("CT",'[1]Raw Data'!$B$2:$O$102,7,FALSE)</f>
        <v>104</v>
      </c>
      <c r="G85" s="17"/>
      <c r="H85" s="17"/>
      <c r="I85" s="17">
        <f>VLOOKUP("CT",'[1]Raw Data'!$B$2:$O$102,8,FALSE)</f>
        <v>16</v>
      </c>
      <c r="J85" s="17"/>
      <c r="K85" s="17"/>
      <c r="L85" s="17">
        <f>VLOOKUP("CT",'[1]Raw Data'!$B$2:$O$102,9,FALSE)</f>
        <v>35</v>
      </c>
      <c r="M85" s="17"/>
      <c r="N85" s="17"/>
      <c r="O85" s="17">
        <f>VLOOKUP("CT",'[1]Raw Data'!$B$2:$O$102,10,FALSE)</f>
        <v>85</v>
      </c>
    </row>
    <row r="86" spans="1:15" ht="13.5" customHeight="1" x14ac:dyDescent="0.25">
      <c r="A86" s="13"/>
      <c r="B86" s="13" t="s">
        <v>11</v>
      </c>
      <c r="C86" s="13"/>
      <c r="D86" s="13"/>
      <c r="E86" s="13"/>
      <c r="F86" s="17">
        <f>VLOOKUP("CT",'[1]Raw Data'!$B$2:$O$102,11,FALSE)</f>
        <v>260</v>
      </c>
      <c r="G86" s="17"/>
      <c r="H86" s="17"/>
      <c r="I86" s="17">
        <f>VLOOKUP("CT",'[1]Raw Data'!$B$2:$O$102,12,FALSE)</f>
        <v>398</v>
      </c>
      <c r="J86" s="17"/>
      <c r="K86" s="17"/>
      <c r="L86" s="17">
        <f>VLOOKUP("CT",'[1]Raw Data'!$B$2:$O$102,13,FALSE)</f>
        <v>341</v>
      </c>
      <c r="M86" s="17"/>
      <c r="N86" s="17"/>
      <c r="O86" s="17">
        <f>VLOOKUP("CT",'[1]Raw Data'!$B$2:$O$102,14,FALSE)</f>
        <v>317</v>
      </c>
    </row>
    <row r="87" spans="1:15" ht="12" customHeight="1" x14ac:dyDescent="0.25"/>
    <row r="88" spans="1:15" ht="13.5" customHeight="1" x14ac:dyDescent="0.25">
      <c r="A88" s="13"/>
      <c r="B88" s="13"/>
      <c r="C88" s="18" t="str">
        <f>IF(VLOOKUP("DC",'[1]Raw Data'!$B$2:$O$102,2,FALSE)="CDO","DC"&amp;" "&amp;CHAR(178),"DC")</f>
        <v>DC</v>
      </c>
      <c r="D88" s="13"/>
      <c r="F88" s="15">
        <f>SUM(F89:F91)</f>
        <v>1168</v>
      </c>
      <c r="G88" s="15"/>
      <c r="H88" s="15"/>
      <c r="I88" s="15">
        <f>SUM(I89:I91)</f>
        <v>415</v>
      </c>
      <c r="J88" s="15"/>
      <c r="K88" s="15"/>
      <c r="L88" s="15">
        <f>SUM(L89:L91)</f>
        <v>932</v>
      </c>
      <c r="M88" s="15"/>
      <c r="N88" s="15"/>
      <c r="O88" s="15">
        <f>SUM(O89:O91)</f>
        <v>649</v>
      </c>
    </row>
    <row r="89" spans="1:15" ht="13.5" customHeight="1" x14ac:dyDescent="0.25">
      <c r="A89" s="13"/>
      <c r="B89" s="13" t="s">
        <v>9</v>
      </c>
      <c r="C89" s="13"/>
      <c r="D89" s="13"/>
      <c r="E89" s="13"/>
      <c r="F89" s="17">
        <f>VLOOKUP("DC",'[1]Raw Data'!$B$2:$O$102,3,FALSE)</f>
        <v>144</v>
      </c>
      <c r="G89" s="17"/>
      <c r="H89" s="17"/>
      <c r="I89" s="17">
        <f>VLOOKUP("DC",'[1]Raw Data'!$B$2:$O$102,4,FALSE)</f>
        <v>151</v>
      </c>
      <c r="J89" s="17"/>
      <c r="K89" s="17"/>
      <c r="L89" s="17">
        <f>VLOOKUP("DC",'[1]Raw Data'!$B$2:$O$102,5,FALSE)</f>
        <v>135</v>
      </c>
      <c r="M89" s="17"/>
      <c r="N89" s="17"/>
      <c r="O89" s="17">
        <f>VLOOKUP("DC",'[1]Raw Data'!$B$2:$O$102,6,FALSE)</f>
        <v>162</v>
      </c>
    </row>
    <row r="90" spans="1:15" ht="13.5" customHeight="1" x14ac:dyDescent="0.25">
      <c r="A90" s="13"/>
      <c r="B90" s="13" t="s">
        <v>10</v>
      </c>
      <c r="C90" s="13"/>
      <c r="D90" s="13"/>
      <c r="E90" s="13"/>
      <c r="F90" s="17">
        <f>VLOOKUP("DC",'[1]Raw Data'!$B$2:$O$102,7,FALSE)</f>
        <v>186</v>
      </c>
      <c r="G90" s="17"/>
      <c r="H90" s="17"/>
      <c r="I90" s="17">
        <f>VLOOKUP("DC",'[1]Raw Data'!$B$2:$O$102,8,FALSE)</f>
        <v>19</v>
      </c>
      <c r="J90" s="17"/>
      <c r="K90" s="17"/>
      <c r="L90" s="17">
        <f>VLOOKUP("DC",'[1]Raw Data'!$B$2:$O$102,9,FALSE)</f>
        <v>65</v>
      </c>
      <c r="M90" s="17"/>
      <c r="N90" s="17"/>
      <c r="O90" s="17">
        <f>VLOOKUP("DC",'[1]Raw Data'!$B$2:$O$102,10,FALSE)</f>
        <v>140</v>
      </c>
    </row>
    <row r="91" spans="1:15" ht="13.5" customHeight="1" x14ac:dyDescent="0.25">
      <c r="A91" s="13"/>
      <c r="B91" s="13" t="s">
        <v>11</v>
      </c>
      <c r="C91" s="13"/>
      <c r="D91" s="13"/>
      <c r="E91" s="13"/>
      <c r="F91" s="17">
        <f>VLOOKUP("DC",'[1]Raw Data'!$B$2:$O$102,11,FALSE)</f>
        <v>838</v>
      </c>
      <c r="G91" s="17"/>
      <c r="H91" s="17"/>
      <c r="I91" s="17">
        <f>VLOOKUP("DC",'[1]Raw Data'!$B$2:$O$102,12,FALSE)</f>
        <v>245</v>
      </c>
      <c r="J91" s="17"/>
      <c r="K91" s="17"/>
      <c r="L91" s="17">
        <f>VLOOKUP("DC",'[1]Raw Data'!$B$2:$O$102,13,FALSE)</f>
        <v>732</v>
      </c>
      <c r="M91" s="17"/>
      <c r="N91" s="17"/>
      <c r="O91" s="17">
        <f>VLOOKUP("DC",'[1]Raw Data'!$B$2:$O$102,14,FALSE)</f>
        <v>347</v>
      </c>
    </row>
    <row r="92" spans="1:15" ht="12" customHeight="1" x14ac:dyDescent="0.25"/>
    <row r="93" spans="1:15" ht="13.5" customHeight="1" x14ac:dyDescent="0.25">
      <c r="A93" s="13"/>
      <c r="B93" s="13"/>
      <c r="C93" s="18" t="str">
        <f>IF(VLOOKUP("DEL",'[1]Raw Data'!$B$2:$O$102,2,FALSE)="CDO","DE"&amp;" "&amp;CHAR(178),"DE")</f>
        <v>DE</v>
      </c>
      <c r="D93" s="13"/>
      <c r="F93" s="15">
        <f>SUM(F94:F96)</f>
        <v>206</v>
      </c>
      <c r="G93" s="15"/>
      <c r="H93" s="15"/>
      <c r="I93" s="15">
        <f>SUM(I94:I96)</f>
        <v>166</v>
      </c>
      <c r="J93" s="15"/>
      <c r="K93" s="15"/>
      <c r="L93" s="15">
        <f>SUM(L94:L96)</f>
        <v>202</v>
      </c>
      <c r="M93" s="15"/>
      <c r="N93" s="15"/>
      <c r="O93" s="15">
        <f>SUM(O94:O96)</f>
        <v>157</v>
      </c>
    </row>
    <row r="94" spans="1:15" ht="13.5" customHeight="1" x14ac:dyDescent="0.25">
      <c r="A94" s="13"/>
      <c r="B94" s="13" t="s">
        <v>9</v>
      </c>
      <c r="C94" s="13"/>
      <c r="D94" s="13"/>
      <c r="E94" s="13"/>
      <c r="F94" s="17">
        <f>VLOOKUP("DEL",'[1]Raw Data'!$B$2:$O$102,3,FALSE)</f>
        <v>53</v>
      </c>
      <c r="G94" s="17"/>
      <c r="H94" s="17"/>
      <c r="I94" s="17">
        <f>VLOOKUP("DEL",'[1]Raw Data'!$B$2:$O$102,4,FALSE)</f>
        <v>56</v>
      </c>
      <c r="J94" s="17"/>
      <c r="K94" s="17"/>
      <c r="L94" s="17">
        <f>VLOOKUP("DEL",'[1]Raw Data'!$B$2:$O$102,5,FALSE)</f>
        <v>67</v>
      </c>
      <c r="M94" s="17"/>
      <c r="N94" s="17"/>
      <c r="O94" s="17">
        <f>VLOOKUP("DEL",'[1]Raw Data'!$B$2:$O$102,6,FALSE)</f>
        <v>46</v>
      </c>
    </row>
    <row r="95" spans="1:15" ht="13.5" customHeight="1" x14ac:dyDescent="0.25">
      <c r="A95" s="13"/>
      <c r="B95" s="13" t="s">
        <v>10</v>
      </c>
      <c r="C95" s="13"/>
      <c r="D95" s="13"/>
      <c r="E95" s="13"/>
      <c r="F95" s="17">
        <f>VLOOKUP("DEL",'[1]Raw Data'!$B$2:$O$102,7,FALSE)</f>
        <v>79</v>
      </c>
      <c r="G95" s="17"/>
      <c r="H95" s="17"/>
      <c r="I95" s="17">
        <f>VLOOKUP("DEL",'[1]Raw Data'!$B$2:$O$102,8,FALSE)</f>
        <v>58</v>
      </c>
      <c r="J95" s="17"/>
      <c r="K95" s="17"/>
      <c r="L95" s="17">
        <f>VLOOKUP("DEL",'[1]Raw Data'!$B$2:$O$102,9,FALSE)</f>
        <v>76</v>
      </c>
      <c r="M95" s="17"/>
      <c r="N95" s="17"/>
      <c r="O95" s="17">
        <f>VLOOKUP("DEL",'[1]Raw Data'!$B$2:$O$102,10,FALSE)</f>
        <v>53</v>
      </c>
    </row>
    <row r="96" spans="1:15" ht="13.5" customHeight="1" x14ac:dyDescent="0.25">
      <c r="A96" s="13"/>
      <c r="B96" s="13" t="s">
        <v>11</v>
      </c>
      <c r="C96" s="13"/>
      <c r="D96" s="13"/>
      <c r="E96" s="13"/>
      <c r="F96" s="17">
        <f>VLOOKUP("DEL",'[1]Raw Data'!$B$2:$O$102,11,FALSE)</f>
        <v>74</v>
      </c>
      <c r="G96" s="17"/>
      <c r="H96" s="17"/>
      <c r="I96" s="17">
        <f>VLOOKUP("DEL",'[1]Raw Data'!$B$2:$O$102,12,FALSE)</f>
        <v>52</v>
      </c>
      <c r="J96" s="17"/>
      <c r="K96" s="17"/>
      <c r="L96" s="17">
        <f>VLOOKUP("DEL",'[1]Raw Data'!$B$2:$O$102,13,FALSE)</f>
        <v>59</v>
      </c>
      <c r="M96" s="17"/>
      <c r="N96" s="17"/>
      <c r="O96" s="17">
        <f>VLOOKUP("DEL",'[1]Raw Data'!$B$2:$O$102,14,FALSE)</f>
        <v>58</v>
      </c>
    </row>
    <row r="97" spans="1:15" ht="12" customHeight="1" x14ac:dyDescent="0.25"/>
    <row r="98" spans="1:15" ht="13.5" customHeight="1" x14ac:dyDescent="0.25">
      <c r="A98" s="13"/>
      <c r="B98" s="13"/>
      <c r="C98" s="18" t="str">
        <f>IF(VLOOKUP("FL, M",'[1]Raw Data'!$B$2:$O$102,2,FALSE)="CDO","FL, M"&amp;" "&amp;CHAR(178),"FL, M")</f>
        <v>FL, M</v>
      </c>
      <c r="D98" s="13"/>
      <c r="F98" s="15">
        <f>SUM(F99:F101)</f>
        <v>2139</v>
      </c>
      <c r="G98" s="15"/>
      <c r="H98" s="15"/>
      <c r="I98" s="15">
        <f>SUM(I99:I101)</f>
        <v>2082</v>
      </c>
      <c r="J98" s="15"/>
      <c r="K98" s="15"/>
      <c r="L98" s="15">
        <f>SUM(L99:L101)</f>
        <v>2502</v>
      </c>
      <c r="M98" s="15"/>
      <c r="N98" s="15"/>
      <c r="O98" s="15">
        <f>SUM(O99:O101)</f>
        <v>1719</v>
      </c>
    </row>
    <row r="99" spans="1:15" ht="13.5" customHeight="1" x14ac:dyDescent="0.25">
      <c r="A99" s="13"/>
      <c r="B99" s="13" t="s">
        <v>9</v>
      </c>
      <c r="C99" s="13"/>
      <c r="D99" s="13"/>
      <c r="E99" s="13"/>
      <c r="F99" s="17">
        <f>VLOOKUP("FL, M",'[1]Raw Data'!$B$2:$O$102,3,FALSE)</f>
        <v>454</v>
      </c>
      <c r="G99" s="17"/>
      <c r="H99" s="17"/>
      <c r="I99" s="17">
        <f>VLOOKUP("FL, M",'[1]Raw Data'!$B$2:$O$102,4,FALSE)</f>
        <v>1029</v>
      </c>
      <c r="J99" s="17"/>
      <c r="K99" s="17"/>
      <c r="L99" s="17">
        <f>VLOOKUP("FL, M",'[1]Raw Data'!$B$2:$O$102,5,FALSE)</f>
        <v>991</v>
      </c>
      <c r="M99" s="17"/>
      <c r="N99" s="17"/>
      <c r="O99" s="17">
        <f>VLOOKUP("FL, M",'[1]Raw Data'!$B$2:$O$102,6,FALSE)</f>
        <v>492</v>
      </c>
    </row>
    <row r="100" spans="1:15" ht="13.5" customHeight="1" x14ac:dyDescent="0.25">
      <c r="A100" s="13"/>
      <c r="B100" s="13" t="s">
        <v>10</v>
      </c>
      <c r="C100" s="13"/>
      <c r="D100" s="13"/>
      <c r="E100" s="13"/>
      <c r="F100" s="17">
        <f>VLOOKUP("FL, M",'[1]Raw Data'!$B$2:$O$102,7,FALSE)</f>
        <v>365</v>
      </c>
      <c r="G100" s="17"/>
      <c r="H100" s="17"/>
      <c r="I100" s="17">
        <f>VLOOKUP("FL, M",'[1]Raw Data'!$B$2:$O$102,8,FALSE)</f>
        <v>184</v>
      </c>
      <c r="J100" s="17"/>
      <c r="K100" s="17"/>
      <c r="L100" s="17">
        <f>VLOOKUP("FL, M",'[1]Raw Data'!$B$2:$O$102,9,FALSE)</f>
        <v>257</v>
      </c>
      <c r="M100" s="17"/>
      <c r="N100" s="17"/>
      <c r="O100" s="17">
        <f>VLOOKUP("FL, M",'[1]Raw Data'!$B$2:$O$102,10,FALSE)</f>
        <v>292</v>
      </c>
    </row>
    <row r="101" spans="1:15" ht="13.5" customHeight="1" x14ac:dyDescent="0.25">
      <c r="A101" s="13"/>
      <c r="B101" s="13" t="s">
        <v>11</v>
      </c>
      <c r="C101" s="13"/>
      <c r="D101" s="13"/>
      <c r="E101" s="13"/>
      <c r="F101" s="17">
        <f>VLOOKUP("FL, M",'[1]Raw Data'!$B$2:$O$102,11,FALSE)</f>
        <v>1320</v>
      </c>
      <c r="G101" s="17"/>
      <c r="H101" s="17"/>
      <c r="I101" s="17">
        <f>VLOOKUP("FL, M",'[1]Raw Data'!$B$2:$O$102,12,FALSE)</f>
        <v>869</v>
      </c>
      <c r="J101" s="17"/>
      <c r="K101" s="17"/>
      <c r="L101" s="17">
        <f>VLOOKUP("FL, M",'[1]Raw Data'!$B$2:$O$102,13,FALSE)</f>
        <v>1254</v>
      </c>
      <c r="M101" s="17"/>
      <c r="N101" s="17"/>
      <c r="O101" s="17">
        <f>VLOOKUP("FL, M",'[1]Raw Data'!$B$2:$O$102,14,FALSE)</f>
        <v>935</v>
      </c>
    </row>
    <row r="102" spans="1:15" ht="12" customHeight="1" x14ac:dyDescent="0.25"/>
    <row r="103" spans="1:15" ht="13.5" customHeight="1" x14ac:dyDescent="0.25">
      <c r="A103" s="13"/>
      <c r="B103" s="13"/>
      <c r="C103" s="18" t="str">
        <f>IF(VLOOKUP("FL, N",'[1]Raw Data'!$B$2:$O$102,2,FALSE)="CDO","FL, N"&amp;" "&amp;CHAR(178),"FL, N")</f>
        <v>FL, N</v>
      </c>
      <c r="D103" s="13"/>
      <c r="F103" s="15">
        <f>SUM(F104:F106)</f>
        <v>253</v>
      </c>
      <c r="G103" s="15"/>
      <c r="H103" s="15"/>
      <c r="I103" s="15">
        <f>SUM(I104:I106)</f>
        <v>570</v>
      </c>
      <c r="J103" s="15"/>
      <c r="K103" s="15"/>
      <c r="L103" s="15">
        <f>SUM(L104:L106)</f>
        <v>560</v>
      </c>
      <c r="M103" s="15"/>
      <c r="N103" s="15"/>
      <c r="O103" s="15">
        <f>SUM(O104:O106)</f>
        <v>263</v>
      </c>
    </row>
    <row r="104" spans="1:15" ht="13.5" customHeight="1" x14ac:dyDescent="0.25">
      <c r="A104" s="13"/>
      <c r="B104" s="13" t="s">
        <v>9</v>
      </c>
      <c r="C104" s="13"/>
      <c r="D104" s="13"/>
      <c r="E104" s="13"/>
      <c r="F104" s="17">
        <f>VLOOKUP("FL, N",'[1]Raw Data'!$B$2:$O$102,3,FALSE)</f>
        <v>87</v>
      </c>
      <c r="G104" s="17"/>
      <c r="H104" s="17"/>
      <c r="I104" s="17">
        <f>VLOOKUP("FL, N",'[1]Raw Data'!$B$2:$O$102,4,FALSE)</f>
        <v>259</v>
      </c>
      <c r="J104" s="17"/>
      <c r="K104" s="17"/>
      <c r="L104" s="17">
        <f>VLOOKUP("FL, N",'[1]Raw Data'!$B$2:$O$102,5,FALSE)</f>
        <v>252</v>
      </c>
      <c r="M104" s="17"/>
      <c r="N104" s="17"/>
      <c r="O104" s="17">
        <f>VLOOKUP("FL, N",'[1]Raw Data'!$B$2:$O$102,6,FALSE)</f>
        <v>93</v>
      </c>
    </row>
    <row r="105" spans="1:15" ht="13.5" customHeight="1" x14ac:dyDescent="0.25">
      <c r="A105" s="13"/>
      <c r="B105" s="13" t="s">
        <v>10</v>
      </c>
      <c r="C105" s="13"/>
      <c r="D105" s="13"/>
      <c r="E105" s="13"/>
      <c r="F105" s="17">
        <f>VLOOKUP("FL, N",'[1]Raw Data'!$B$2:$O$102,7,FALSE)</f>
        <v>90</v>
      </c>
      <c r="G105" s="17"/>
      <c r="H105" s="17"/>
      <c r="I105" s="17">
        <f>VLOOKUP("FL, N",'[1]Raw Data'!$B$2:$O$102,8,FALSE)</f>
        <v>35</v>
      </c>
      <c r="J105" s="17"/>
      <c r="K105" s="17"/>
      <c r="L105" s="17">
        <f>VLOOKUP("FL, N",'[1]Raw Data'!$B$2:$O$102,9,FALSE)</f>
        <v>61</v>
      </c>
      <c r="M105" s="17"/>
      <c r="N105" s="17"/>
      <c r="O105" s="17">
        <f>VLOOKUP("FL, N",'[1]Raw Data'!$B$2:$O$102,10,FALSE)</f>
        <v>66</v>
      </c>
    </row>
    <row r="106" spans="1:15" ht="13.5" customHeight="1" x14ac:dyDescent="0.25">
      <c r="A106" s="13"/>
      <c r="B106" s="13" t="s">
        <v>11</v>
      </c>
      <c r="C106" s="13"/>
      <c r="D106" s="13"/>
      <c r="E106" s="13"/>
      <c r="F106" s="17">
        <f>VLOOKUP("FL, N",'[1]Raw Data'!$B$2:$O$102,11,FALSE)</f>
        <v>76</v>
      </c>
      <c r="G106" s="17"/>
      <c r="H106" s="17"/>
      <c r="I106" s="17">
        <f>VLOOKUP("FL, N",'[1]Raw Data'!$B$2:$O$102,12,FALSE)</f>
        <v>276</v>
      </c>
      <c r="J106" s="17"/>
      <c r="K106" s="17"/>
      <c r="L106" s="17">
        <f>VLOOKUP("FL, N",'[1]Raw Data'!$B$2:$O$102,13,FALSE)</f>
        <v>247</v>
      </c>
      <c r="M106" s="17"/>
      <c r="N106" s="17"/>
      <c r="O106" s="17">
        <f>VLOOKUP("FL, N",'[1]Raw Data'!$B$2:$O$102,14,FALSE)</f>
        <v>104</v>
      </c>
    </row>
    <row r="107" spans="1:15" ht="12" customHeight="1" x14ac:dyDescent="0.25"/>
    <row r="108" spans="1:15" ht="13.5" customHeight="1" x14ac:dyDescent="0.25">
      <c r="A108" s="13"/>
      <c r="B108" s="13"/>
      <c r="C108" s="18" t="str">
        <f>IF(VLOOKUP("FL, S",'[1]Raw Data'!$B$2:$O$102,2,FALSE)="CDO","FL, S"&amp;" "&amp;CHAR(178),"FL, S")</f>
        <v>FL, S</v>
      </c>
      <c r="D108" s="13"/>
      <c r="F108" s="15">
        <f>SUM(F109:F111)</f>
        <v>2196</v>
      </c>
      <c r="G108" s="15"/>
      <c r="H108" s="15"/>
      <c r="I108" s="15">
        <f>SUM(I109:I111)</f>
        <v>2351</v>
      </c>
      <c r="J108" s="15"/>
      <c r="K108" s="15"/>
      <c r="L108" s="15">
        <f>SUM(L109:L111)</f>
        <v>2828</v>
      </c>
      <c r="M108" s="15"/>
      <c r="N108" s="15"/>
      <c r="O108" s="15">
        <f>SUM(O109:O111)</f>
        <v>1716</v>
      </c>
    </row>
    <row r="109" spans="1:15" ht="13.5" customHeight="1" x14ac:dyDescent="0.25">
      <c r="A109" s="13"/>
      <c r="B109" s="13" t="s">
        <v>9</v>
      </c>
      <c r="C109" s="13"/>
      <c r="D109" s="13"/>
      <c r="E109" s="13"/>
      <c r="F109" s="17">
        <f>VLOOKUP("FL, S",'[1]Raw Data'!$B$2:$O$102,3,FALSE)</f>
        <v>660</v>
      </c>
      <c r="G109" s="17"/>
      <c r="H109" s="17"/>
      <c r="I109" s="17">
        <f>VLOOKUP("FL, S",'[1]Raw Data'!$B$2:$O$102,4,FALSE)</f>
        <v>1219</v>
      </c>
      <c r="J109" s="17"/>
      <c r="K109" s="17"/>
      <c r="L109" s="17">
        <f>VLOOKUP("FL, S",'[1]Raw Data'!$B$2:$O$102,5,FALSE)</f>
        <v>1204</v>
      </c>
      <c r="M109" s="17"/>
      <c r="N109" s="17"/>
      <c r="O109" s="17">
        <f>VLOOKUP("FL, S",'[1]Raw Data'!$B$2:$O$102,6,FALSE)</f>
        <v>681</v>
      </c>
    </row>
    <row r="110" spans="1:15" ht="13.5" customHeight="1" x14ac:dyDescent="0.25">
      <c r="A110" s="13"/>
      <c r="B110" s="13" t="s">
        <v>10</v>
      </c>
      <c r="C110" s="13"/>
      <c r="D110" s="13"/>
      <c r="E110" s="13"/>
      <c r="F110" s="17">
        <f>VLOOKUP("FL, S",'[1]Raw Data'!$B$2:$O$102,7,FALSE)</f>
        <v>718</v>
      </c>
      <c r="G110" s="17"/>
      <c r="H110" s="17"/>
      <c r="I110" s="17">
        <f>VLOOKUP("FL, S",'[1]Raw Data'!$B$2:$O$102,8,FALSE)</f>
        <v>306</v>
      </c>
      <c r="J110" s="17"/>
      <c r="K110" s="17"/>
      <c r="L110" s="17">
        <f>VLOOKUP("FL, S",'[1]Raw Data'!$B$2:$O$102,9,FALSE)</f>
        <v>484</v>
      </c>
      <c r="M110" s="17"/>
      <c r="N110" s="17"/>
      <c r="O110" s="17">
        <f>VLOOKUP("FL, S",'[1]Raw Data'!$B$2:$O$102,10,FALSE)</f>
        <v>540</v>
      </c>
    </row>
    <row r="111" spans="1:15" ht="13.5" customHeight="1" x14ac:dyDescent="0.25">
      <c r="A111" s="13"/>
      <c r="B111" s="13" t="s">
        <v>11</v>
      </c>
      <c r="C111" s="13"/>
      <c r="D111" s="13"/>
      <c r="E111" s="13"/>
      <c r="F111" s="17">
        <f>VLOOKUP("FL, S",'[1]Raw Data'!$B$2:$O$102,11,FALSE)</f>
        <v>818</v>
      </c>
      <c r="G111" s="17"/>
      <c r="H111" s="17"/>
      <c r="I111" s="17">
        <f>VLOOKUP("FL, S",'[1]Raw Data'!$B$2:$O$102,12,FALSE)</f>
        <v>826</v>
      </c>
      <c r="J111" s="17"/>
      <c r="K111" s="17"/>
      <c r="L111" s="17">
        <f>VLOOKUP("FL, S",'[1]Raw Data'!$B$2:$O$102,13,FALSE)</f>
        <v>1140</v>
      </c>
      <c r="M111" s="17"/>
      <c r="N111" s="17"/>
      <c r="O111" s="17">
        <f>VLOOKUP("FL, S",'[1]Raw Data'!$B$2:$O$102,14,FALSE)</f>
        <v>495</v>
      </c>
    </row>
    <row r="112" spans="1:15" ht="12" customHeight="1" x14ac:dyDescent="0.25"/>
    <row r="113" spans="1:15" ht="13.5" customHeight="1" x14ac:dyDescent="0.25">
      <c r="A113" s="13"/>
      <c r="B113" s="13"/>
      <c r="C113" s="18" t="str">
        <f>IF(VLOOKUP("GA, M",'[1]Raw Data'!$B$2:$O$102,2,FALSE)="CDO","GA, M"&amp;" "&amp;CHAR(178),"GA, M")</f>
        <v>GA, M ²</v>
      </c>
      <c r="D113" s="13"/>
      <c r="F113" s="15">
        <f>SUM(F114:F116)</f>
        <v>454</v>
      </c>
      <c r="G113" s="15"/>
      <c r="H113" s="15"/>
      <c r="I113" s="15">
        <f>SUM(I114:I116)</f>
        <v>311</v>
      </c>
      <c r="J113" s="15"/>
      <c r="K113" s="15"/>
      <c r="L113" s="15">
        <f>SUM(L114:L116)</f>
        <v>560</v>
      </c>
      <c r="M113" s="15"/>
      <c r="N113" s="15"/>
      <c r="O113" s="15">
        <f>SUM(O114:O116)</f>
        <v>202</v>
      </c>
    </row>
    <row r="114" spans="1:15" ht="13.5" customHeight="1" x14ac:dyDescent="0.25">
      <c r="A114" s="13"/>
      <c r="B114" s="13" t="s">
        <v>9</v>
      </c>
      <c r="C114" s="13"/>
      <c r="D114" s="13"/>
      <c r="E114" s="13"/>
      <c r="F114" s="17">
        <f>VLOOKUP("GA, M",'[1]Raw Data'!$B$2:$O$102,3,FALSE)</f>
        <v>100</v>
      </c>
      <c r="G114" s="17"/>
      <c r="H114" s="17"/>
      <c r="I114" s="17">
        <f>VLOOKUP("GA, M",'[1]Raw Data'!$B$2:$O$102,4,FALSE)</f>
        <v>194</v>
      </c>
      <c r="J114" s="17"/>
      <c r="K114" s="17"/>
      <c r="L114" s="17">
        <f>VLOOKUP("GA, M",'[1]Raw Data'!$B$2:$O$102,5,FALSE)</f>
        <v>184</v>
      </c>
      <c r="M114" s="17"/>
      <c r="N114" s="17"/>
      <c r="O114" s="17">
        <f>VLOOKUP("GA, M",'[1]Raw Data'!$B$2:$O$102,6,FALSE)</f>
        <v>111</v>
      </c>
    </row>
    <row r="115" spans="1:15" ht="13.5" customHeight="1" x14ac:dyDescent="0.25">
      <c r="A115" s="13"/>
      <c r="B115" s="13" t="s">
        <v>10</v>
      </c>
      <c r="C115" s="13"/>
      <c r="D115" s="13"/>
      <c r="E115" s="13"/>
      <c r="F115" s="17">
        <f>VLOOKUP("GA, M",'[1]Raw Data'!$B$2:$O$102,7,FALSE)</f>
        <v>95</v>
      </c>
      <c r="G115" s="17"/>
      <c r="H115" s="17"/>
      <c r="I115" s="17">
        <f>VLOOKUP("GA, M",'[1]Raw Data'!$B$2:$O$102,8,FALSE)</f>
        <v>22</v>
      </c>
      <c r="J115" s="17"/>
      <c r="K115" s="17"/>
      <c r="L115" s="17">
        <f>VLOOKUP("GA, M",'[1]Raw Data'!$B$2:$O$102,9,FALSE)</f>
        <v>170</v>
      </c>
      <c r="M115" s="17"/>
      <c r="N115" s="17"/>
      <c r="O115" s="17">
        <f>VLOOKUP("GA, M",'[1]Raw Data'!$B$2:$O$102,10,FALSE)</f>
        <v>64</v>
      </c>
    </row>
    <row r="116" spans="1:15" ht="13.5" customHeight="1" x14ac:dyDescent="0.25">
      <c r="A116" s="13"/>
      <c r="B116" s="13" t="s">
        <v>11</v>
      </c>
      <c r="C116" s="13"/>
      <c r="D116" s="13"/>
      <c r="E116" s="13"/>
      <c r="F116" s="17">
        <f>VLOOKUP("GA, M",'[1]Raw Data'!$B$2:$O$102,11,FALSE)</f>
        <v>259</v>
      </c>
      <c r="G116" s="17"/>
      <c r="H116" s="17"/>
      <c r="I116" s="17">
        <f>VLOOKUP("GA, M",'[1]Raw Data'!$B$2:$O$102,12,FALSE)</f>
        <v>95</v>
      </c>
      <c r="J116" s="17"/>
      <c r="K116" s="17"/>
      <c r="L116" s="17">
        <f>VLOOKUP("GA, M",'[1]Raw Data'!$B$2:$O$102,13,FALSE)</f>
        <v>206</v>
      </c>
      <c r="M116" s="17"/>
      <c r="N116" s="17"/>
      <c r="O116" s="17">
        <f>VLOOKUP("GA, M",'[1]Raw Data'!$B$2:$O$102,14,FALSE)</f>
        <v>27</v>
      </c>
    </row>
    <row r="117" spans="1:15" ht="12" customHeight="1" x14ac:dyDescent="0.25"/>
    <row r="118" spans="1:15" ht="13.5" customHeight="1" x14ac:dyDescent="0.25">
      <c r="A118" s="13"/>
      <c r="B118" s="13"/>
      <c r="C118" s="18" t="str">
        <f>IF(VLOOKUP("GA, N",'[1]Raw Data'!$B$2:$O$102,2,FALSE)="CDO","GA, N"&amp;" "&amp;CHAR(178),"GA, N")</f>
        <v>GA, N ²</v>
      </c>
      <c r="D118" s="13"/>
      <c r="F118" s="15">
        <f>SUM(F119:F121)</f>
        <v>790</v>
      </c>
      <c r="G118" s="15"/>
      <c r="H118" s="15"/>
      <c r="I118" s="15">
        <f>SUM(I119:I121)</f>
        <v>1086</v>
      </c>
      <c r="J118" s="15"/>
      <c r="K118" s="15"/>
      <c r="L118" s="15">
        <f>SUM(L119:L121)</f>
        <v>1270</v>
      </c>
      <c r="M118" s="15"/>
      <c r="N118" s="15"/>
      <c r="O118" s="15">
        <f>SUM(O119:O121)</f>
        <v>606</v>
      </c>
    </row>
    <row r="119" spans="1:15" ht="13.5" customHeight="1" x14ac:dyDescent="0.25">
      <c r="A119" s="13"/>
      <c r="B119" s="13" t="s">
        <v>9</v>
      </c>
      <c r="C119" s="13"/>
      <c r="D119" s="13"/>
      <c r="E119" s="13"/>
      <c r="F119" s="17">
        <f>VLOOKUP("GA, N",'[1]Raw Data'!$B$2:$O$102,3,FALSE)</f>
        <v>378</v>
      </c>
      <c r="G119" s="17"/>
      <c r="H119" s="17"/>
      <c r="I119" s="17">
        <f>VLOOKUP("GA, N",'[1]Raw Data'!$B$2:$O$102,4,FALSE)</f>
        <v>719</v>
      </c>
      <c r="J119" s="17"/>
      <c r="K119" s="17"/>
      <c r="L119" s="17">
        <f>VLOOKUP("GA, N",'[1]Raw Data'!$B$2:$O$102,5,FALSE)</f>
        <v>743</v>
      </c>
      <c r="M119" s="17"/>
      <c r="N119" s="17"/>
      <c r="O119" s="17">
        <f>VLOOKUP("GA, N",'[1]Raw Data'!$B$2:$O$102,6,FALSE)</f>
        <v>354</v>
      </c>
    </row>
    <row r="120" spans="1:15" ht="13.5" customHeight="1" x14ac:dyDescent="0.25">
      <c r="A120" s="13"/>
      <c r="B120" s="13" t="s">
        <v>10</v>
      </c>
      <c r="C120" s="13"/>
      <c r="D120" s="13"/>
      <c r="E120" s="13"/>
      <c r="F120" s="17">
        <f>VLOOKUP("GA, N",'[1]Raw Data'!$B$2:$O$102,7,FALSE)</f>
        <v>183</v>
      </c>
      <c r="G120" s="17"/>
      <c r="H120" s="17"/>
      <c r="I120" s="17">
        <f>VLOOKUP("GA, N",'[1]Raw Data'!$B$2:$O$102,8,FALSE)</f>
        <v>86</v>
      </c>
      <c r="J120" s="17"/>
      <c r="K120" s="17"/>
      <c r="L120" s="17">
        <f>VLOOKUP("GA, N",'[1]Raw Data'!$B$2:$O$102,9,FALSE)</f>
        <v>142</v>
      </c>
      <c r="M120" s="17"/>
      <c r="N120" s="17"/>
      <c r="O120" s="17">
        <f>VLOOKUP("GA, N",'[1]Raw Data'!$B$2:$O$102,10,FALSE)</f>
        <v>126</v>
      </c>
    </row>
    <row r="121" spans="1:15" ht="13.5" customHeight="1" x14ac:dyDescent="0.25">
      <c r="A121" s="13"/>
      <c r="B121" s="13" t="s">
        <v>11</v>
      </c>
      <c r="C121" s="13"/>
      <c r="D121" s="13"/>
      <c r="E121" s="13"/>
      <c r="F121" s="17">
        <f>VLOOKUP("GA, N",'[1]Raw Data'!$B$2:$O$102,11,FALSE)</f>
        <v>229</v>
      </c>
      <c r="G121" s="17"/>
      <c r="H121" s="17"/>
      <c r="I121" s="17">
        <f>VLOOKUP("GA, N",'[1]Raw Data'!$B$2:$O$102,12,FALSE)</f>
        <v>281</v>
      </c>
      <c r="J121" s="17"/>
      <c r="K121" s="17"/>
      <c r="L121" s="17">
        <f>VLOOKUP("GA, N",'[1]Raw Data'!$B$2:$O$102,13,FALSE)</f>
        <v>385</v>
      </c>
      <c r="M121" s="17"/>
      <c r="N121" s="17"/>
      <c r="O121" s="17">
        <f>VLOOKUP("GA, N",'[1]Raw Data'!$B$2:$O$102,14,FALSE)</f>
        <v>126</v>
      </c>
    </row>
    <row r="122" spans="1:15" ht="12" customHeight="1" x14ac:dyDescent="0.25"/>
    <row r="123" spans="1:15" ht="13.5" customHeight="1" x14ac:dyDescent="0.25">
      <c r="A123" s="13"/>
      <c r="B123" s="13"/>
      <c r="C123" s="18" t="str">
        <f>IF(VLOOKUP("GU",'[1]Raw Data'!$B$2:$O$102,2,FALSE)="CDO","GU"&amp;" "&amp;CHAR(178),"GU")</f>
        <v>GU</v>
      </c>
      <c r="D123" s="13"/>
      <c r="F123" s="15">
        <f>SUM(F124:F126)</f>
        <v>86</v>
      </c>
      <c r="G123" s="15"/>
      <c r="H123" s="15"/>
      <c r="I123" s="15">
        <f>SUM(I124:I126)</f>
        <v>133</v>
      </c>
      <c r="J123" s="15"/>
      <c r="K123" s="15"/>
      <c r="L123" s="15">
        <f>SUM(L124:L126)</f>
        <v>163</v>
      </c>
      <c r="M123" s="15"/>
      <c r="N123" s="15"/>
      <c r="O123" s="15">
        <f>SUM(O124:O126)</f>
        <v>56</v>
      </c>
    </row>
    <row r="124" spans="1:15" ht="13.5" customHeight="1" x14ac:dyDescent="0.25">
      <c r="A124" s="13"/>
      <c r="B124" s="13" t="s">
        <v>9</v>
      </c>
      <c r="C124" s="13"/>
      <c r="D124" s="13"/>
      <c r="E124" s="13"/>
      <c r="F124" s="17">
        <f>VLOOKUP("GU",'[1]Raw Data'!$B$2:$O$102,3,FALSE)</f>
        <v>29</v>
      </c>
      <c r="G124" s="17"/>
      <c r="H124" s="17"/>
      <c r="I124" s="17">
        <f>VLOOKUP("GU",'[1]Raw Data'!$B$2:$O$102,4,FALSE)</f>
        <v>67</v>
      </c>
      <c r="J124" s="17"/>
      <c r="K124" s="17"/>
      <c r="L124" s="17">
        <f>VLOOKUP("GU",'[1]Raw Data'!$B$2:$O$102,5,FALSE)</f>
        <v>73</v>
      </c>
      <c r="M124" s="17"/>
      <c r="N124" s="17"/>
      <c r="O124" s="17">
        <f>VLOOKUP("GU",'[1]Raw Data'!$B$2:$O$102,6,FALSE)</f>
        <v>23</v>
      </c>
    </row>
    <row r="125" spans="1:15" ht="13.5" customHeight="1" x14ac:dyDescent="0.25">
      <c r="A125" s="13"/>
      <c r="B125" s="13" t="s">
        <v>10</v>
      </c>
      <c r="C125" s="13"/>
      <c r="D125" s="13"/>
      <c r="E125" s="13"/>
      <c r="F125" s="17">
        <f>VLOOKUP("GU",'[1]Raw Data'!$B$2:$O$102,7,FALSE)</f>
        <v>4</v>
      </c>
      <c r="G125" s="17"/>
      <c r="H125" s="17"/>
      <c r="I125" s="17">
        <f>VLOOKUP("GU",'[1]Raw Data'!$B$2:$O$102,8,FALSE)</f>
        <v>0</v>
      </c>
      <c r="J125" s="17"/>
      <c r="K125" s="17"/>
      <c r="L125" s="17">
        <f>VLOOKUP("GU",'[1]Raw Data'!$B$2:$O$102,9,FALSE)</f>
        <v>2</v>
      </c>
      <c r="M125" s="17"/>
      <c r="N125" s="17"/>
      <c r="O125" s="17">
        <f>VLOOKUP("GU",'[1]Raw Data'!$B$2:$O$102,10,FALSE)</f>
        <v>2</v>
      </c>
    </row>
    <row r="126" spans="1:15" ht="13.5" customHeight="1" x14ac:dyDescent="0.25">
      <c r="A126" s="13"/>
      <c r="B126" s="13" t="s">
        <v>11</v>
      </c>
      <c r="C126" s="13"/>
      <c r="D126" s="13"/>
      <c r="E126" s="13"/>
      <c r="F126" s="17">
        <f>VLOOKUP("GU",'[1]Raw Data'!$B$2:$O$102,11,FALSE)</f>
        <v>53</v>
      </c>
      <c r="G126" s="17"/>
      <c r="H126" s="17"/>
      <c r="I126" s="17">
        <f>VLOOKUP("GU",'[1]Raw Data'!$B$2:$O$102,12,FALSE)</f>
        <v>66</v>
      </c>
      <c r="J126" s="17"/>
      <c r="K126" s="17"/>
      <c r="L126" s="17">
        <f>VLOOKUP("GU",'[1]Raw Data'!$B$2:$O$102,13,FALSE)</f>
        <v>88</v>
      </c>
      <c r="M126" s="17"/>
      <c r="N126" s="17"/>
      <c r="O126" s="17">
        <f>VLOOKUP("GU",'[1]Raw Data'!$B$2:$O$102,14,FALSE)</f>
        <v>31</v>
      </c>
    </row>
    <row r="127" spans="1:15" ht="12" customHeight="1" x14ac:dyDescent="0.25"/>
    <row r="128" spans="1:15" ht="13.5" customHeight="1" x14ac:dyDescent="0.25">
      <c r="A128" s="13"/>
      <c r="B128" s="13"/>
      <c r="C128" s="18" t="str">
        <f>IF(VLOOKUP("HI",'[1]Raw Data'!$B$2:$O$102,2,FALSE)="CDO","HI"&amp;" "&amp;CHAR(178),"HI")</f>
        <v>HI</v>
      </c>
      <c r="D128" s="13"/>
      <c r="F128" s="15">
        <f>SUM(F129:F131)</f>
        <v>244</v>
      </c>
      <c r="G128" s="15"/>
      <c r="H128" s="15"/>
      <c r="I128" s="15">
        <f>SUM(I129:I131)</f>
        <v>332</v>
      </c>
      <c r="J128" s="15"/>
      <c r="K128" s="15"/>
      <c r="L128" s="15">
        <f>SUM(L129:L131)</f>
        <v>443</v>
      </c>
      <c r="M128" s="15"/>
      <c r="N128" s="15"/>
      <c r="O128" s="15">
        <f>SUM(O129:O131)</f>
        <v>134</v>
      </c>
    </row>
    <row r="129" spans="1:15" ht="13.5" customHeight="1" x14ac:dyDescent="0.25">
      <c r="A129" s="13"/>
      <c r="B129" s="13" t="s">
        <v>9</v>
      </c>
      <c r="C129" s="13"/>
      <c r="D129" s="13"/>
      <c r="E129" s="13"/>
      <c r="F129" s="17">
        <f>VLOOKUP("HI",'[1]Raw Data'!$B$2:$O$102,3,FALSE)</f>
        <v>55</v>
      </c>
      <c r="G129" s="17"/>
      <c r="H129" s="17"/>
      <c r="I129" s="17">
        <f>VLOOKUP("HI",'[1]Raw Data'!$B$2:$O$102,4,FALSE)</f>
        <v>128</v>
      </c>
      <c r="J129" s="17"/>
      <c r="K129" s="17"/>
      <c r="L129" s="17">
        <f>VLOOKUP("HI",'[1]Raw Data'!$B$2:$O$102,5,FALSE)</f>
        <v>141</v>
      </c>
      <c r="M129" s="17"/>
      <c r="N129" s="17"/>
      <c r="O129" s="17">
        <f>VLOOKUP("HI",'[1]Raw Data'!$B$2:$O$102,6,FALSE)</f>
        <v>41</v>
      </c>
    </row>
    <row r="130" spans="1:15" ht="13.5" customHeight="1" x14ac:dyDescent="0.25">
      <c r="A130" s="13"/>
      <c r="B130" s="13" t="s">
        <v>10</v>
      </c>
      <c r="C130" s="13"/>
      <c r="D130" s="13"/>
      <c r="E130" s="13"/>
      <c r="F130" s="17">
        <f>VLOOKUP("HI",'[1]Raw Data'!$B$2:$O$102,7,FALSE)</f>
        <v>72</v>
      </c>
      <c r="G130" s="17"/>
      <c r="H130" s="17"/>
      <c r="I130" s="17">
        <f>VLOOKUP("HI",'[1]Raw Data'!$B$2:$O$102,8,FALSE)</f>
        <v>12</v>
      </c>
      <c r="J130" s="17"/>
      <c r="K130" s="17"/>
      <c r="L130" s="17">
        <f>VLOOKUP("HI",'[1]Raw Data'!$B$2:$O$102,9,FALSE)</f>
        <v>52</v>
      </c>
      <c r="M130" s="17"/>
      <c r="N130" s="17"/>
      <c r="O130" s="17">
        <f>VLOOKUP("HI",'[1]Raw Data'!$B$2:$O$102,10,FALSE)</f>
        <v>33</v>
      </c>
    </row>
    <row r="131" spans="1:15" ht="13.5" customHeight="1" x14ac:dyDescent="0.25">
      <c r="A131" s="13"/>
      <c r="B131" s="13" t="s">
        <v>11</v>
      </c>
      <c r="C131" s="13"/>
      <c r="D131" s="13"/>
      <c r="E131" s="13"/>
      <c r="F131" s="17">
        <f>VLOOKUP("HI",'[1]Raw Data'!$B$2:$O$102,11,FALSE)</f>
        <v>117</v>
      </c>
      <c r="G131" s="17"/>
      <c r="H131" s="17"/>
      <c r="I131" s="17">
        <f>VLOOKUP("HI",'[1]Raw Data'!$B$2:$O$102,12,FALSE)</f>
        <v>192</v>
      </c>
      <c r="J131" s="17"/>
      <c r="K131" s="17"/>
      <c r="L131" s="17">
        <f>VLOOKUP("HI",'[1]Raw Data'!$B$2:$O$102,13,FALSE)</f>
        <v>250</v>
      </c>
      <c r="M131" s="17"/>
      <c r="N131" s="17"/>
      <c r="O131" s="17">
        <f>VLOOKUP("HI",'[1]Raw Data'!$B$2:$O$102,14,FALSE)</f>
        <v>60</v>
      </c>
    </row>
    <row r="132" spans="1:15" ht="12" customHeight="1" x14ac:dyDescent="0.25"/>
    <row r="133" spans="1:15" ht="13.5" customHeight="1" x14ac:dyDescent="0.25">
      <c r="A133" s="13"/>
      <c r="B133" s="13"/>
      <c r="C133" s="18" t="str">
        <f>IF(VLOOKUP("TOT: IA, S/N",'[1]Raw Data'!$B$2:$O$102,2,FALSE)="CDO","TOT: IA, N/S"&amp;" "&amp;CHAR(178),"TOT: IA, N/S")</f>
        <v>TOT: IA, N/S</v>
      </c>
      <c r="D133" s="13"/>
      <c r="F133" s="15">
        <f>IF(SUM(F134:F136)-SUM(F138,F143)=0,SUM(F134:F136),999999999)</f>
        <v>591</v>
      </c>
      <c r="G133" s="15"/>
      <c r="H133" s="15"/>
      <c r="I133" s="15">
        <f>IF(SUM(I134:I136)-SUM(I138,I143)=0,SUM(I134:I136),999999999)</f>
        <v>1041</v>
      </c>
      <c r="J133" s="15"/>
      <c r="K133" s="15"/>
      <c r="L133" s="15">
        <f>IF(SUM(L134:L136)-SUM(L138,L143)=0,SUM(L134:L136),999999999)</f>
        <v>1135</v>
      </c>
      <c r="M133" s="15"/>
      <c r="N133" s="15"/>
      <c r="O133" s="15">
        <f>IF(SUM(O134:O136)-SUM(O138,O143)=0,SUM(O134:O136),999999999)</f>
        <v>479</v>
      </c>
    </row>
    <row r="134" spans="1:15" ht="13.5" customHeight="1" x14ac:dyDescent="0.25">
      <c r="A134" s="13"/>
      <c r="B134" s="13" t="s">
        <v>9</v>
      </c>
      <c r="C134" s="13"/>
      <c r="D134" s="13"/>
      <c r="E134" s="13"/>
      <c r="F134" s="17">
        <f>VLOOKUP("TOT: IA, S/N",'[1]Raw Data'!$B$2:$O$102,3,FALSE)</f>
        <v>256</v>
      </c>
      <c r="G134" s="17"/>
      <c r="H134" s="17"/>
      <c r="I134" s="17">
        <f>VLOOKUP("TOT: IA, S/N",'[1]Raw Data'!$B$2:$O$102,4,FALSE)</f>
        <v>523</v>
      </c>
      <c r="J134" s="17"/>
      <c r="K134" s="17"/>
      <c r="L134" s="17">
        <f>VLOOKUP("TOT: IA, S/N",'[1]Raw Data'!$B$2:$O$102,5,FALSE)</f>
        <v>473</v>
      </c>
      <c r="M134" s="17"/>
      <c r="N134" s="17"/>
      <c r="O134" s="17">
        <f>VLOOKUP("TOT: IA, S/N",'[1]Raw Data'!$B$2:$O$102,6,FALSE)</f>
        <v>290</v>
      </c>
    </row>
    <row r="135" spans="1:15" ht="13.5" customHeight="1" x14ac:dyDescent="0.25">
      <c r="A135" s="13"/>
      <c r="B135" s="13" t="s">
        <v>10</v>
      </c>
      <c r="C135" s="13"/>
      <c r="D135" s="13"/>
      <c r="E135" s="13"/>
      <c r="F135" s="17">
        <f>VLOOKUP("TOT: IA, S/N",'[1]Raw Data'!$B$2:$O$102,7,FALSE)</f>
        <v>268</v>
      </c>
      <c r="G135" s="17"/>
      <c r="H135" s="17"/>
      <c r="I135" s="17">
        <f>VLOOKUP("TOT: IA, S/N",'[1]Raw Data'!$B$2:$O$102,8,FALSE)</f>
        <v>97</v>
      </c>
      <c r="J135" s="17"/>
      <c r="K135" s="17"/>
      <c r="L135" s="17">
        <f>VLOOKUP("TOT: IA, S/N",'[1]Raw Data'!$B$2:$O$102,9,FALSE)</f>
        <v>223</v>
      </c>
      <c r="M135" s="17"/>
      <c r="N135" s="17"/>
      <c r="O135" s="17">
        <f>VLOOKUP("TOT: IA, S/N",'[1]Raw Data'!$B$2:$O$102,10,FALSE)</f>
        <v>140</v>
      </c>
    </row>
    <row r="136" spans="1:15" ht="13.5" customHeight="1" x14ac:dyDescent="0.25">
      <c r="A136" s="13"/>
      <c r="B136" s="13" t="s">
        <v>11</v>
      </c>
      <c r="C136" s="13"/>
      <c r="D136" s="13"/>
      <c r="E136" s="13"/>
      <c r="F136" s="17">
        <f>VLOOKUP("TOT: IA, S/N",'[1]Raw Data'!$B$2:$O$102,11,FALSE)</f>
        <v>67</v>
      </c>
      <c r="G136" s="17"/>
      <c r="H136" s="17"/>
      <c r="I136" s="17">
        <f>VLOOKUP("TOT: IA, S/N",'[1]Raw Data'!$B$2:$O$102,12,FALSE)</f>
        <v>421</v>
      </c>
      <c r="J136" s="17"/>
      <c r="K136" s="17"/>
      <c r="L136" s="17">
        <f>VLOOKUP("TOT: IA, S/N",'[1]Raw Data'!$B$2:$O$102,13,FALSE)</f>
        <v>439</v>
      </c>
      <c r="M136" s="17"/>
      <c r="N136" s="17"/>
      <c r="O136" s="17">
        <f>VLOOKUP("TOT: IA, S/N",'[1]Raw Data'!$B$2:$O$102,14,FALSE)</f>
        <v>49</v>
      </c>
    </row>
    <row r="137" spans="1:15" ht="12" customHeight="1" x14ac:dyDescent="0.25"/>
    <row r="138" spans="1:15" ht="13.5" customHeight="1" x14ac:dyDescent="0.25">
      <c r="A138" s="13"/>
      <c r="B138" s="13"/>
      <c r="C138" s="18" t="str">
        <f>IF(VLOOKUP("   IA, N",'[1]Raw Data'!$B$2:$O$102,2,FALSE)="CDO","IA, N"&amp;" "&amp;CHAR(178),"IA, N")</f>
        <v>IA, N</v>
      </c>
      <c r="D138" s="13"/>
      <c r="F138" s="15">
        <f>SUM(F139:F141)</f>
        <v>281</v>
      </c>
      <c r="G138" s="15"/>
      <c r="H138" s="15"/>
      <c r="I138" s="15">
        <f>SUM(I139:I141)</f>
        <v>351</v>
      </c>
      <c r="J138" s="15"/>
      <c r="K138" s="15"/>
      <c r="L138" s="15">
        <f>SUM(L139:L141)</f>
        <v>418</v>
      </c>
      <c r="M138" s="15"/>
      <c r="N138" s="15"/>
      <c r="O138" s="15">
        <f>SUM(O139:O141)</f>
        <v>196</v>
      </c>
    </row>
    <row r="139" spans="1:15" ht="13.5" customHeight="1" x14ac:dyDescent="0.25">
      <c r="A139" s="13"/>
      <c r="B139" s="13" t="s">
        <v>9</v>
      </c>
      <c r="C139" s="13"/>
      <c r="D139" s="13"/>
      <c r="E139" s="13"/>
      <c r="F139" s="17">
        <f>VLOOKUP("   IA, N",'[1]Raw Data'!$B$2:$O$102,3,FALSE)</f>
        <v>101</v>
      </c>
      <c r="G139" s="17"/>
      <c r="H139" s="17"/>
      <c r="I139" s="17">
        <f>VLOOKUP("   IA, N",'[1]Raw Data'!$B$2:$O$102,4,FALSE)</f>
        <v>243</v>
      </c>
      <c r="J139" s="17"/>
      <c r="K139" s="17"/>
      <c r="L139" s="17">
        <f>VLOOKUP("   IA, N",'[1]Raw Data'!$B$2:$O$102,5,FALSE)</f>
        <v>214</v>
      </c>
      <c r="M139" s="17"/>
      <c r="N139" s="17"/>
      <c r="O139" s="17">
        <f>VLOOKUP("   IA, N",'[1]Raw Data'!$B$2:$O$102,6,FALSE)</f>
        <v>114</v>
      </c>
    </row>
    <row r="140" spans="1:15" ht="13.5" customHeight="1" x14ac:dyDescent="0.25">
      <c r="A140" s="13"/>
      <c r="B140" s="13" t="s">
        <v>10</v>
      </c>
      <c r="C140" s="13"/>
      <c r="D140" s="13"/>
      <c r="E140" s="13"/>
      <c r="F140" s="17">
        <f>VLOOKUP("   IA, N",'[1]Raw Data'!$B$2:$O$102,7,FALSE)</f>
        <v>156</v>
      </c>
      <c r="G140" s="17"/>
      <c r="H140" s="17"/>
      <c r="I140" s="17">
        <f>VLOOKUP("   IA, N",'[1]Raw Data'!$B$2:$O$102,8,FALSE)</f>
        <v>37</v>
      </c>
      <c r="J140" s="17"/>
      <c r="K140" s="17"/>
      <c r="L140" s="17">
        <f>VLOOKUP("   IA, N",'[1]Raw Data'!$B$2:$O$102,9,FALSE)</f>
        <v>119</v>
      </c>
      <c r="M140" s="17"/>
      <c r="N140" s="17"/>
      <c r="O140" s="17">
        <f>VLOOKUP("   IA, N",'[1]Raw Data'!$B$2:$O$102,10,FALSE)</f>
        <v>72</v>
      </c>
    </row>
    <row r="141" spans="1:15" ht="13.5" customHeight="1" x14ac:dyDescent="0.25">
      <c r="A141" s="13"/>
      <c r="B141" s="13" t="s">
        <v>11</v>
      </c>
      <c r="C141" s="13"/>
      <c r="D141" s="13"/>
      <c r="E141" s="13"/>
      <c r="F141" s="17">
        <f>VLOOKUP("   IA, N",'[1]Raw Data'!$B$2:$O$102,11,FALSE)</f>
        <v>24</v>
      </c>
      <c r="G141" s="17"/>
      <c r="H141" s="17"/>
      <c r="I141" s="17">
        <f>VLOOKUP("   IA, N",'[1]Raw Data'!$B$2:$O$102,12,FALSE)</f>
        <v>71</v>
      </c>
      <c r="J141" s="17"/>
      <c r="K141" s="17"/>
      <c r="L141" s="17">
        <f>VLOOKUP("   IA, N",'[1]Raw Data'!$B$2:$O$102,13,FALSE)</f>
        <v>85</v>
      </c>
      <c r="M141" s="17"/>
      <c r="N141" s="17"/>
      <c r="O141" s="17">
        <f>VLOOKUP("   IA, N",'[1]Raw Data'!$B$2:$O$102,14,FALSE)</f>
        <v>10</v>
      </c>
    </row>
    <row r="142" spans="1:15" ht="12" customHeight="1" x14ac:dyDescent="0.25"/>
    <row r="143" spans="1:15" ht="13.5" customHeight="1" x14ac:dyDescent="0.25">
      <c r="A143" s="13"/>
      <c r="B143" s="13"/>
      <c r="C143" s="18" t="str">
        <f>IF(VLOOKUP("   IA, S",'[1]Raw Data'!$B$2:$O$102,2,FALSE)="CDO","IA, S"&amp;" "&amp;CHAR(178),"IA, S")</f>
        <v>IA, S</v>
      </c>
      <c r="D143" s="13"/>
      <c r="F143" s="15">
        <f>SUM(F144:F146)</f>
        <v>310</v>
      </c>
      <c r="G143" s="15"/>
      <c r="H143" s="15"/>
      <c r="I143" s="15">
        <f>SUM(I144:I146)</f>
        <v>690</v>
      </c>
      <c r="J143" s="15"/>
      <c r="K143" s="15"/>
      <c r="L143" s="15">
        <f>SUM(L144:L146)</f>
        <v>717</v>
      </c>
      <c r="M143" s="15"/>
      <c r="N143" s="15"/>
      <c r="O143" s="15">
        <f>SUM(O144:O146)</f>
        <v>283</v>
      </c>
    </row>
    <row r="144" spans="1:15" ht="13.5" customHeight="1" x14ac:dyDescent="0.25">
      <c r="A144" s="13"/>
      <c r="B144" s="13" t="s">
        <v>9</v>
      </c>
      <c r="C144" s="13"/>
      <c r="D144" s="13"/>
      <c r="E144" s="13"/>
      <c r="F144" s="17">
        <f>VLOOKUP("   IA, S",'[1]Raw Data'!$B$2:$O$102,3,FALSE)</f>
        <v>155</v>
      </c>
      <c r="G144" s="17"/>
      <c r="H144" s="17"/>
      <c r="I144" s="17">
        <f>VLOOKUP("   IA, S",'[1]Raw Data'!$B$2:$O$102,4,FALSE)</f>
        <v>280</v>
      </c>
      <c r="J144" s="17"/>
      <c r="K144" s="17"/>
      <c r="L144" s="17">
        <f>VLOOKUP("   IA, S",'[1]Raw Data'!$B$2:$O$102,5,FALSE)</f>
        <v>259</v>
      </c>
      <c r="M144" s="17"/>
      <c r="N144" s="17"/>
      <c r="O144" s="17">
        <f>VLOOKUP("   IA, S",'[1]Raw Data'!$B$2:$O$102,6,FALSE)</f>
        <v>176</v>
      </c>
    </row>
    <row r="145" spans="1:15" ht="13.5" customHeight="1" x14ac:dyDescent="0.25">
      <c r="A145" s="13"/>
      <c r="B145" s="13" t="s">
        <v>10</v>
      </c>
      <c r="C145" s="13"/>
      <c r="D145" s="13"/>
      <c r="E145" s="13"/>
      <c r="F145" s="17">
        <f>VLOOKUP("   IA, S",'[1]Raw Data'!$B$2:$O$102,7,FALSE)</f>
        <v>112</v>
      </c>
      <c r="G145" s="17"/>
      <c r="H145" s="17"/>
      <c r="I145" s="17">
        <f>VLOOKUP("   IA, S",'[1]Raw Data'!$B$2:$O$102,8,FALSE)</f>
        <v>60</v>
      </c>
      <c r="J145" s="17"/>
      <c r="K145" s="17"/>
      <c r="L145" s="17">
        <f>VLOOKUP("   IA, S",'[1]Raw Data'!$B$2:$O$102,9,FALSE)</f>
        <v>104</v>
      </c>
      <c r="M145" s="17"/>
      <c r="N145" s="17"/>
      <c r="O145" s="17">
        <f>VLOOKUP("   IA, S",'[1]Raw Data'!$B$2:$O$102,10,FALSE)</f>
        <v>68</v>
      </c>
    </row>
    <row r="146" spans="1:15" ht="13.5" customHeight="1" x14ac:dyDescent="0.25">
      <c r="A146" s="13"/>
      <c r="B146" s="13" t="s">
        <v>11</v>
      </c>
      <c r="C146" s="13"/>
      <c r="D146" s="13"/>
      <c r="E146" s="13"/>
      <c r="F146" s="17">
        <f>VLOOKUP("   IA, S",'[1]Raw Data'!$B$2:$O$102,11,FALSE)</f>
        <v>43</v>
      </c>
      <c r="G146" s="17"/>
      <c r="H146" s="17"/>
      <c r="I146" s="17">
        <f>VLOOKUP("   IA, S",'[1]Raw Data'!$B$2:$O$102,12,FALSE)</f>
        <v>350</v>
      </c>
      <c r="J146" s="17"/>
      <c r="K146" s="17"/>
      <c r="L146" s="17">
        <f>VLOOKUP("   IA, S",'[1]Raw Data'!$B$2:$O$102,13,FALSE)</f>
        <v>354</v>
      </c>
      <c r="M146" s="17"/>
      <c r="N146" s="17"/>
      <c r="O146" s="17">
        <f>VLOOKUP("   IA, S",'[1]Raw Data'!$B$2:$O$102,14,FALSE)</f>
        <v>39</v>
      </c>
    </row>
    <row r="147" spans="1:15" ht="12" customHeight="1" x14ac:dyDescent="0.25"/>
    <row r="148" spans="1:15" ht="13.5" customHeight="1" x14ac:dyDescent="0.25">
      <c r="A148" s="13"/>
      <c r="B148" s="13"/>
      <c r="C148" s="18" t="str">
        <f>IF(VLOOKUP("ID",'[1]Raw Data'!$B$2:$O$102,2,FALSE)="CDO","ID"&amp;" "&amp;CHAR(178),"ID")</f>
        <v>ID ²</v>
      </c>
      <c r="D148" s="13"/>
      <c r="F148" s="15">
        <f>SUM(F149:F151)</f>
        <v>219</v>
      </c>
      <c r="G148" s="15"/>
      <c r="H148" s="15"/>
      <c r="I148" s="15">
        <f>SUM(I149:I151)</f>
        <v>349</v>
      </c>
      <c r="J148" s="15"/>
      <c r="K148" s="15"/>
      <c r="L148" s="15">
        <f>SUM(L149:L151)</f>
        <v>346</v>
      </c>
      <c r="M148" s="15"/>
      <c r="N148" s="15"/>
      <c r="O148" s="15">
        <f>SUM(O149:O151)</f>
        <v>222</v>
      </c>
    </row>
    <row r="149" spans="1:15" ht="13.5" customHeight="1" x14ac:dyDescent="0.25">
      <c r="A149" s="13"/>
      <c r="B149" s="13" t="s">
        <v>9</v>
      </c>
      <c r="C149" s="13"/>
      <c r="D149" s="13"/>
      <c r="E149" s="13"/>
      <c r="F149" s="17">
        <f>VLOOKUP("ID",'[1]Raw Data'!$B$2:$O$102,3,FALSE)</f>
        <v>132</v>
      </c>
      <c r="G149" s="17"/>
      <c r="H149" s="17"/>
      <c r="I149" s="17">
        <f>VLOOKUP("ID",'[1]Raw Data'!$B$2:$O$102,4,FALSE)</f>
        <v>225</v>
      </c>
      <c r="J149" s="17"/>
      <c r="K149" s="17"/>
      <c r="L149" s="17">
        <f>VLOOKUP("ID",'[1]Raw Data'!$B$2:$O$102,5,FALSE)</f>
        <v>213</v>
      </c>
      <c r="M149" s="17"/>
      <c r="N149" s="17"/>
      <c r="O149" s="17">
        <f>VLOOKUP("ID",'[1]Raw Data'!$B$2:$O$102,6,FALSE)</f>
        <v>146</v>
      </c>
    </row>
    <row r="150" spans="1:15" ht="13.5" customHeight="1" x14ac:dyDescent="0.25">
      <c r="A150" s="13"/>
      <c r="B150" s="13" t="s">
        <v>10</v>
      </c>
      <c r="C150" s="13"/>
      <c r="D150" s="13"/>
      <c r="E150" s="13"/>
      <c r="F150" s="17">
        <f>VLOOKUP("ID",'[1]Raw Data'!$B$2:$O$102,7,FALSE)</f>
        <v>37</v>
      </c>
      <c r="G150" s="17"/>
      <c r="H150" s="17"/>
      <c r="I150" s="17">
        <f>VLOOKUP("ID",'[1]Raw Data'!$B$2:$O$102,8,FALSE)</f>
        <v>9</v>
      </c>
      <c r="J150" s="17"/>
      <c r="K150" s="17"/>
      <c r="L150" s="17">
        <f>VLOOKUP("ID",'[1]Raw Data'!$B$2:$O$102,9,FALSE)</f>
        <v>16</v>
      </c>
      <c r="M150" s="17"/>
      <c r="N150" s="17"/>
      <c r="O150" s="17">
        <f>VLOOKUP("ID",'[1]Raw Data'!$B$2:$O$102,10,FALSE)</f>
        <v>30</v>
      </c>
    </row>
    <row r="151" spans="1:15" ht="13.5" customHeight="1" x14ac:dyDescent="0.25">
      <c r="A151" s="13"/>
      <c r="B151" s="13" t="s">
        <v>11</v>
      </c>
      <c r="C151" s="13"/>
      <c r="D151" s="13"/>
      <c r="E151" s="13"/>
      <c r="F151" s="17">
        <f>VLOOKUP("ID",'[1]Raw Data'!$B$2:$O$102,11,FALSE)</f>
        <v>50</v>
      </c>
      <c r="G151" s="17"/>
      <c r="H151" s="17"/>
      <c r="I151" s="17">
        <f>VLOOKUP("ID",'[1]Raw Data'!$B$2:$O$102,12,FALSE)</f>
        <v>115</v>
      </c>
      <c r="J151" s="17"/>
      <c r="K151" s="17"/>
      <c r="L151" s="17">
        <f>VLOOKUP("ID",'[1]Raw Data'!$B$2:$O$102,13,FALSE)</f>
        <v>117</v>
      </c>
      <c r="M151" s="17"/>
      <c r="N151" s="17"/>
      <c r="O151" s="17">
        <f>VLOOKUP("ID",'[1]Raw Data'!$B$2:$O$102,14,FALSE)</f>
        <v>46</v>
      </c>
    </row>
    <row r="152" spans="1:15" ht="12" customHeight="1" x14ac:dyDescent="0.25"/>
    <row r="153" spans="1:15" ht="13.5" customHeight="1" x14ac:dyDescent="0.25">
      <c r="A153" s="13"/>
      <c r="B153" s="13"/>
      <c r="C153" s="18" t="str">
        <f>IF(VLOOKUP("IL, C",'[1]Raw Data'!$B$2:$O$102,2,FALSE)="CDO","IL, C"&amp;" "&amp;CHAR(178),"IL, C")</f>
        <v>IL, C</v>
      </c>
      <c r="D153" s="13"/>
      <c r="F153" s="15">
        <f>SUM(F154:F156)</f>
        <v>372</v>
      </c>
      <c r="G153" s="15"/>
      <c r="H153" s="15"/>
      <c r="I153" s="15">
        <f>SUM(I154:I156)</f>
        <v>641</v>
      </c>
      <c r="J153" s="15"/>
      <c r="K153" s="15"/>
      <c r="L153" s="15">
        <f>SUM(L154:L156)</f>
        <v>666</v>
      </c>
      <c r="M153" s="15"/>
      <c r="N153" s="15"/>
      <c r="O153" s="15">
        <f>SUM(O154:O156)</f>
        <v>347</v>
      </c>
    </row>
    <row r="154" spans="1:15" ht="13.5" customHeight="1" x14ac:dyDescent="0.25">
      <c r="A154" s="13"/>
      <c r="B154" s="13" t="s">
        <v>9</v>
      </c>
      <c r="C154" s="13"/>
      <c r="D154" s="13"/>
      <c r="E154" s="13"/>
      <c r="F154" s="17">
        <f>VLOOKUP("IL, C",'[1]Raw Data'!$B$2:$O$102,3,FALSE)</f>
        <v>113</v>
      </c>
      <c r="G154" s="17"/>
      <c r="H154" s="17"/>
      <c r="I154" s="17">
        <f>VLOOKUP("IL, C",'[1]Raw Data'!$B$2:$O$102,4,FALSE)</f>
        <v>196</v>
      </c>
      <c r="J154" s="17"/>
      <c r="K154" s="17"/>
      <c r="L154" s="17">
        <f>VLOOKUP("IL, C",'[1]Raw Data'!$B$2:$O$102,5,FALSE)</f>
        <v>190</v>
      </c>
      <c r="M154" s="17"/>
      <c r="N154" s="17"/>
      <c r="O154" s="17">
        <f>VLOOKUP("IL, C",'[1]Raw Data'!$B$2:$O$102,6,FALSE)</f>
        <v>119</v>
      </c>
    </row>
    <row r="155" spans="1:15" ht="13.5" customHeight="1" x14ac:dyDescent="0.25">
      <c r="A155" s="13"/>
      <c r="B155" s="13" t="s">
        <v>10</v>
      </c>
      <c r="C155" s="13"/>
      <c r="D155" s="13"/>
      <c r="E155" s="13"/>
      <c r="F155" s="17">
        <f>VLOOKUP("IL, C",'[1]Raw Data'!$B$2:$O$102,7,FALSE)</f>
        <v>138</v>
      </c>
      <c r="G155" s="17"/>
      <c r="H155" s="17"/>
      <c r="I155" s="17">
        <f>VLOOKUP("IL, C",'[1]Raw Data'!$B$2:$O$102,8,FALSE)</f>
        <v>174</v>
      </c>
      <c r="J155" s="17"/>
      <c r="K155" s="17"/>
      <c r="L155" s="17">
        <f>VLOOKUP("IL, C",'[1]Raw Data'!$B$2:$O$102,9,FALSE)</f>
        <v>179</v>
      </c>
      <c r="M155" s="17"/>
      <c r="N155" s="17"/>
      <c r="O155" s="17">
        <f>VLOOKUP("IL, C",'[1]Raw Data'!$B$2:$O$102,10,FALSE)</f>
        <v>133</v>
      </c>
    </row>
    <row r="156" spans="1:15" ht="13.5" customHeight="1" x14ac:dyDescent="0.25">
      <c r="A156" s="13"/>
      <c r="B156" s="13" t="s">
        <v>11</v>
      </c>
      <c r="C156" s="13"/>
      <c r="D156" s="13"/>
      <c r="E156" s="13"/>
      <c r="F156" s="17">
        <f>VLOOKUP("IL, C",'[1]Raw Data'!$B$2:$O$102,11,FALSE)</f>
        <v>121</v>
      </c>
      <c r="G156" s="17"/>
      <c r="H156" s="17"/>
      <c r="I156" s="17">
        <f>VLOOKUP("IL, C",'[1]Raw Data'!$B$2:$O$102,12,FALSE)</f>
        <v>271</v>
      </c>
      <c r="J156" s="17"/>
      <c r="K156" s="17"/>
      <c r="L156" s="17">
        <f>VLOOKUP("IL, C",'[1]Raw Data'!$B$2:$O$102,13,FALSE)</f>
        <v>297</v>
      </c>
      <c r="M156" s="17"/>
      <c r="N156" s="17"/>
      <c r="O156" s="17">
        <f>VLOOKUP("IL, C",'[1]Raw Data'!$B$2:$O$102,14,FALSE)</f>
        <v>95</v>
      </c>
    </row>
    <row r="157" spans="1:15" ht="12" customHeight="1" x14ac:dyDescent="0.25"/>
    <row r="158" spans="1:15" ht="13.5" customHeight="1" x14ac:dyDescent="0.25">
      <c r="A158" s="13"/>
      <c r="B158" s="13"/>
      <c r="C158" s="18" t="str">
        <f>IF(VLOOKUP("IL, N",'[1]Raw Data'!$B$2:$O$102,2,FALSE)="CDO","IL, N"&amp;" "&amp;CHAR(178),"IL, N")</f>
        <v>IL, N ²</v>
      </c>
      <c r="D158" s="13"/>
      <c r="F158" s="15">
        <f>SUM(F159:F161)</f>
        <v>1503</v>
      </c>
      <c r="G158" s="15"/>
      <c r="H158" s="15"/>
      <c r="I158" s="15">
        <f>SUM(I159:I161)</f>
        <v>804</v>
      </c>
      <c r="J158" s="15"/>
      <c r="K158" s="15"/>
      <c r="L158" s="15">
        <f>SUM(L159:L161)</f>
        <v>1470</v>
      </c>
      <c r="M158" s="15"/>
      <c r="N158" s="15"/>
      <c r="O158" s="15">
        <f>SUM(O159:O161)</f>
        <v>838</v>
      </c>
    </row>
    <row r="159" spans="1:15" ht="13.5" customHeight="1" x14ac:dyDescent="0.25">
      <c r="A159" s="13"/>
      <c r="B159" s="13" t="s">
        <v>9</v>
      </c>
      <c r="C159" s="13"/>
      <c r="D159" s="13"/>
      <c r="E159" s="13"/>
      <c r="F159" s="17">
        <f>VLOOKUP("IL, N",'[1]Raw Data'!$B$2:$O$102,3,FALSE)</f>
        <v>299</v>
      </c>
      <c r="G159" s="17"/>
      <c r="H159" s="17"/>
      <c r="I159" s="17">
        <f>VLOOKUP("IL, N",'[1]Raw Data'!$B$2:$O$102,4,FALSE)</f>
        <v>307</v>
      </c>
      <c r="J159" s="17"/>
      <c r="K159" s="17"/>
      <c r="L159" s="17">
        <f>VLOOKUP("IL, N",'[1]Raw Data'!$B$2:$O$102,5,FALSE)</f>
        <v>299</v>
      </c>
      <c r="M159" s="17"/>
      <c r="N159" s="17"/>
      <c r="O159" s="17">
        <f>VLOOKUP("IL, N",'[1]Raw Data'!$B$2:$O$102,6,FALSE)</f>
        <v>308</v>
      </c>
    </row>
    <row r="160" spans="1:15" ht="13.5" customHeight="1" x14ac:dyDescent="0.25">
      <c r="A160" s="13"/>
      <c r="B160" s="13" t="s">
        <v>10</v>
      </c>
      <c r="C160" s="13"/>
      <c r="D160" s="13"/>
      <c r="E160" s="13"/>
      <c r="F160" s="17">
        <f>VLOOKUP("IL, N",'[1]Raw Data'!$B$2:$O$102,7,FALSE)</f>
        <v>240</v>
      </c>
      <c r="G160" s="17"/>
      <c r="H160" s="17"/>
      <c r="I160" s="17">
        <f>VLOOKUP("IL, N",'[1]Raw Data'!$B$2:$O$102,8,FALSE)</f>
        <v>34</v>
      </c>
      <c r="J160" s="17"/>
      <c r="K160" s="17"/>
      <c r="L160" s="17">
        <f>VLOOKUP("IL, N",'[1]Raw Data'!$B$2:$O$102,9,FALSE)</f>
        <v>212</v>
      </c>
      <c r="M160" s="17"/>
      <c r="N160" s="17"/>
      <c r="O160" s="17">
        <f>VLOOKUP("IL, N",'[1]Raw Data'!$B$2:$O$102,10,FALSE)</f>
        <v>63</v>
      </c>
    </row>
    <row r="161" spans="1:15" ht="13.5" customHeight="1" x14ac:dyDescent="0.25">
      <c r="A161" s="13"/>
      <c r="B161" s="13" t="s">
        <v>11</v>
      </c>
      <c r="C161" s="13"/>
      <c r="D161" s="13"/>
      <c r="E161" s="13"/>
      <c r="F161" s="17">
        <f>VLOOKUP("IL, N",'[1]Raw Data'!$B$2:$O$102,11,FALSE)</f>
        <v>964</v>
      </c>
      <c r="G161" s="17"/>
      <c r="H161" s="17"/>
      <c r="I161" s="17">
        <f>VLOOKUP("IL, N",'[1]Raw Data'!$B$2:$O$102,12,FALSE)</f>
        <v>463</v>
      </c>
      <c r="J161" s="17"/>
      <c r="K161" s="17"/>
      <c r="L161" s="17">
        <f>VLOOKUP("IL, N",'[1]Raw Data'!$B$2:$O$102,13,FALSE)</f>
        <v>959</v>
      </c>
      <c r="M161" s="17"/>
      <c r="N161" s="17"/>
      <c r="O161" s="17">
        <f>VLOOKUP("IL, N",'[1]Raw Data'!$B$2:$O$102,14,FALSE)</f>
        <v>467</v>
      </c>
    </row>
    <row r="162" spans="1:15" ht="12" customHeight="1" x14ac:dyDescent="0.25"/>
    <row r="163" spans="1:15" ht="13.5" customHeight="1" x14ac:dyDescent="0.25">
      <c r="A163" s="13"/>
      <c r="B163" s="13"/>
      <c r="C163" s="18" t="str">
        <f>IF(VLOOKUP("IL, S",'[1]Raw Data'!$B$2:$O$102,2,FALSE)="CDO","IL, S"&amp;" "&amp;CHAR(178),"IL, S")</f>
        <v>IL, S</v>
      </c>
      <c r="D163" s="13"/>
      <c r="F163" s="15">
        <f>SUM(F164:F166)</f>
        <v>366</v>
      </c>
      <c r="G163" s="15"/>
      <c r="H163" s="15"/>
      <c r="I163" s="15">
        <f>SUM(I164:I166)</f>
        <v>657</v>
      </c>
      <c r="J163" s="15"/>
      <c r="K163" s="15"/>
      <c r="L163" s="15">
        <f>SUM(L164:L166)</f>
        <v>708</v>
      </c>
      <c r="M163" s="15"/>
      <c r="N163" s="15"/>
      <c r="O163" s="15">
        <f>SUM(O164:O166)</f>
        <v>315</v>
      </c>
    </row>
    <row r="164" spans="1:15" ht="13.5" customHeight="1" x14ac:dyDescent="0.25">
      <c r="A164" s="13"/>
      <c r="B164" s="13" t="s">
        <v>9</v>
      </c>
      <c r="C164" s="13"/>
      <c r="D164" s="13"/>
      <c r="E164" s="13"/>
      <c r="F164" s="17">
        <f>VLOOKUP("IL, S",'[1]Raw Data'!$B$2:$O$102,3,FALSE)</f>
        <v>87</v>
      </c>
      <c r="G164" s="17"/>
      <c r="H164" s="17"/>
      <c r="I164" s="17">
        <f>VLOOKUP("IL, S",'[1]Raw Data'!$B$2:$O$102,4,FALSE)</f>
        <v>182</v>
      </c>
      <c r="J164" s="17"/>
      <c r="K164" s="17"/>
      <c r="L164" s="17">
        <f>VLOOKUP("IL, S",'[1]Raw Data'!$B$2:$O$102,5,FALSE)</f>
        <v>161</v>
      </c>
      <c r="M164" s="17"/>
      <c r="N164" s="17"/>
      <c r="O164" s="17">
        <f>VLOOKUP("IL, S",'[1]Raw Data'!$B$2:$O$102,6,FALSE)</f>
        <v>108</v>
      </c>
    </row>
    <row r="165" spans="1:15" ht="13.5" customHeight="1" x14ac:dyDescent="0.25">
      <c r="A165" s="13"/>
      <c r="B165" s="13" t="s">
        <v>10</v>
      </c>
      <c r="C165" s="13"/>
      <c r="D165" s="13"/>
      <c r="E165" s="13"/>
      <c r="F165" s="17">
        <f>VLOOKUP("IL, S",'[1]Raw Data'!$B$2:$O$102,7,FALSE)</f>
        <v>64</v>
      </c>
      <c r="G165" s="17"/>
      <c r="H165" s="17"/>
      <c r="I165" s="17">
        <f>VLOOKUP("IL, S",'[1]Raw Data'!$B$2:$O$102,8,FALSE)</f>
        <v>27</v>
      </c>
      <c r="J165" s="17"/>
      <c r="K165" s="17"/>
      <c r="L165" s="17">
        <f>VLOOKUP("IL, S",'[1]Raw Data'!$B$2:$O$102,9,FALSE)</f>
        <v>48</v>
      </c>
      <c r="M165" s="17"/>
      <c r="N165" s="17"/>
      <c r="O165" s="17">
        <f>VLOOKUP("IL, S",'[1]Raw Data'!$B$2:$O$102,10,FALSE)</f>
        <v>43</v>
      </c>
    </row>
    <row r="166" spans="1:15" ht="13.5" customHeight="1" x14ac:dyDescent="0.25">
      <c r="A166" s="13"/>
      <c r="B166" s="13" t="s">
        <v>11</v>
      </c>
      <c r="C166" s="13"/>
      <c r="D166" s="13"/>
      <c r="E166" s="13"/>
      <c r="F166" s="17">
        <f>VLOOKUP("IL, S",'[1]Raw Data'!$B$2:$O$102,11,FALSE)</f>
        <v>215</v>
      </c>
      <c r="G166" s="17"/>
      <c r="H166" s="17"/>
      <c r="I166" s="17">
        <f>VLOOKUP("IL, S",'[1]Raw Data'!$B$2:$O$102,12,FALSE)</f>
        <v>448</v>
      </c>
      <c r="J166" s="17"/>
      <c r="K166" s="17"/>
      <c r="L166" s="17">
        <f>VLOOKUP("IL, S",'[1]Raw Data'!$B$2:$O$102,13,FALSE)</f>
        <v>499</v>
      </c>
      <c r="M166" s="17"/>
      <c r="N166" s="17"/>
      <c r="O166" s="17">
        <f>VLOOKUP("IL, S",'[1]Raw Data'!$B$2:$O$102,14,FALSE)</f>
        <v>164</v>
      </c>
    </row>
    <row r="167" spans="1:15" ht="12" customHeight="1" x14ac:dyDescent="0.25"/>
    <row r="168" spans="1:15" ht="13.5" customHeight="1" x14ac:dyDescent="0.25">
      <c r="A168" s="13"/>
      <c r="B168" s="13"/>
      <c r="C168" s="18" t="str">
        <f>IF(VLOOKUP("IN, N",'[1]Raw Data'!$B$2:$O$102,2,FALSE)="CDO","IN, N"&amp;" "&amp;CHAR(178),"IN, N")</f>
        <v>IN, N ²</v>
      </c>
      <c r="D168" s="13"/>
      <c r="F168" s="15">
        <f>SUM(F169:F171)</f>
        <v>260</v>
      </c>
      <c r="G168" s="15"/>
      <c r="H168" s="15"/>
      <c r="I168" s="15">
        <f>SUM(I169:I171)</f>
        <v>265</v>
      </c>
      <c r="J168" s="15"/>
      <c r="K168" s="15"/>
      <c r="L168" s="15">
        <f>SUM(L169:L171)</f>
        <v>355</v>
      </c>
      <c r="M168" s="15"/>
      <c r="N168" s="15"/>
      <c r="O168" s="15">
        <f>SUM(O169:O171)</f>
        <v>166</v>
      </c>
    </row>
    <row r="169" spans="1:15" ht="13.5" customHeight="1" x14ac:dyDescent="0.25">
      <c r="A169" s="13"/>
      <c r="B169" s="13" t="s">
        <v>9</v>
      </c>
      <c r="C169" s="13"/>
      <c r="D169" s="13"/>
      <c r="E169" s="13"/>
      <c r="F169" s="17">
        <f>VLOOKUP("IN, N",'[1]Raw Data'!$B$2:$O$102,3,FALSE)</f>
        <v>95</v>
      </c>
      <c r="G169" s="17"/>
      <c r="H169" s="17"/>
      <c r="I169" s="17">
        <f>VLOOKUP("IN, N",'[1]Raw Data'!$B$2:$O$102,4,FALSE)</f>
        <v>155</v>
      </c>
      <c r="J169" s="17"/>
      <c r="K169" s="17"/>
      <c r="L169" s="17">
        <f>VLOOKUP("IN, N",'[1]Raw Data'!$B$2:$O$102,5,FALSE)</f>
        <v>148</v>
      </c>
      <c r="M169" s="17"/>
      <c r="N169" s="17"/>
      <c r="O169" s="17">
        <f>VLOOKUP("IN, N",'[1]Raw Data'!$B$2:$O$102,6,FALSE)</f>
        <v>98</v>
      </c>
    </row>
    <row r="170" spans="1:15" ht="13.5" customHeight="1" x14ac:dyDescent="0.25">
      <c r="A170" s="13"/>
      <c r="B170" s="13" t="s">
        <v>10</v>
      </c>
      <c r="C170" s="13"/>
      <c r="D170" s="13"/>
      <c r="E170" s="13"/>
      <c r="F170" s="17">
        <f>VLOOKUP("IN, N",'[1]Raw Data'!$B$2:$O$102,7,FALSE)</f>
        <v>95</v>
      </c>
      <c r="G170" s="17"/>
      <c r="H170" s="17"/>
      <c r="I170" s="17">
        <f>VLOOKUP("IN, N",'[1]Raw Data'!$B$2:$O$102,8,FALSE)</f>
        <v>21</v>
      </c>
      <c r="J170" s="17"/>
      <c r="K170" s="17"/>
      <c r="L170" s="17">
        <f>VLOOKUP("IN, N",'[1]Raw Data'!$B$2:$O$102,9,FALSE)</f>
        <v>92</v>
      </c>
      <c r="M170" s="17"/>
      <c r="N170" s="17"/>
      <c r="O170" s="17">
        <f>VLOOKUP("IN, N",'[1]Raw Data'!$B$2:$O$102,10,FALSE)</f>
        <v>24</v>
      </c>
    </row>
    <row r="171" spans="1:15" ht="13.5" customHeight="1" x14ac:dyDescent="0.25">
      <c r="A171" s="13"/>
      <c r="B171" s="13" t="s">
        <v>11</v>
      </c>
      <c r="C171" s="13"/>
      <c r="D171" s="13"/>
      <c r="E171" s="13"/>
      <c r="F171" s="17">
        <f>VLOOKUP("IN, N",'[1]Raw Data'!$B$2:$O$102,11,FALSE)</f>
        <v>70</v>
      </c>
      <c r="G171" s="17"/>
      <c r="H171" s="17"/>
      <c r="I171" s="17">
        <f>VLOOKUP("IN, N",'[1]Raw Data'!$B$2:$O$102,12,FALSE)</f>
        <v>89</v>
      </c>
      <c r="J171" s="17"/>
      <c r="K171" s="17"/>
      <c r="L171" s="17">
        <f>VLOOKUP("IN, N",'[1]Raw Data'!$B$2:$O$102,13,FALSE)</f>
        <v>115</v>
      </c>
      <c r="M171" s="17"/>
      <c r="N171" s="17"/>
      <c r="O171" s="17">
        <f>VLOOKUP("IN, N",'[1]Raw Data'!$B$2:$O$102,14,FALSE)</f>
        <v>44</v>
      </c>
    </row>
    <row r="172" spans="1:15" ht="12" customHeight="1" x14ac:dyDescent="0.25"/>
    <row r="173" spans="1:15" ht="13.5" customHeight="1" x14ac:dyDescent="0.25">
      <c r="A173" s="13"/>
      <c r="B173" s="13"/>
      <c r="C173" s="18" t="str">
        <f>IF(VLOOKUP("IN, S",'[1]Raw Data'!$B$2:$O$102,2,FALSE)="CDO","IN, S"&amp;" "&amp;CHAR(178),"IN, S")</f>
        <v>IN, S ²</v>
      </c>
      <c r="D173" s="13"/>
      <c r="F173" s="15">
        <f>SUM(F174:F176)</f>
        <v>755</v>
      </c>
      <c r="G173" s="15"/>
      <c r="H173" s="15"/>
      <c r="I173" s="15">
        <f>SUM(I174:I176)</f>
        <v>543</v>
      </c>
      <c r="J173" s="15"/>
      <c r="K173" s="15"/>
      <c r="L173" s="15">
        <f>SUM(L174:L176)</f>
        <v>997</v>
      </c>
      <c r="M173" s="15"/>
      <c r="N173" s="15"/>
      <c r="O173" s="15">
        <f>SUM(O174:O176)</f>
        <v>301</v>
      </c>
    </row>
    <row r="174" spans="1:15" ht="13.5" customHeight="1" x14ac:dyDescent="0.25">
      <c r="A174" s="13"/>
      <c r="B174" s="13" t="s">
        <v>9</v>
      </c>
      <c r="C174" s="13"/>
      <c r="D174" s="13"/>
      <c r="E174" s="13"/>
      <c r="F174" s="17">
        <f>VLOOKUP("IN, S",'[1]Raw Data'!$B$2:$O$102,3,FALSE)</f>
        <v>156</v>
      </c>
      <c r="G174" s="17"/>
      <c r="H174" s="17"/>
      <c r="I174" s="17">
        <f>VLOOKUP("IN, S",'[1]Raw Data'!$B$2:$O$102,4,FALSE)</f>
        <v>179</v>
      </c>
      <c r="J174" s="17"/>
      <c r="K174" s="17"/>
      <c r="L174" s="17">
        <f>VLOOKUP("IN, S",'[1]Raw Data'!$B$2:$O$102,5,FALSE)</f>
        <v>169</v>
      </c>
      <c r="M174" s="17"/>
      <c r="N174" s="17"/>
      <c r="O174" s="17">
        <f>VLOOKUP("IN, S",'[1]Raw Data'!$B$2:$O$102,6,FALSE)</f>
        <v>165</v>
      </c>
    </row>
    <row r="175" spans="1:15" ht="13.5" customHeight="1" x14ac:dyDescent="0.25">
      <c r="A175" s="13"/>
      <c r="B175" s="13" t="s">
        <v>10</v>
      </c>
      <c r="C175" s="13"/>
      <c r="D175" s="13"/>
      <c r="E175" s="13"/>
      <c r="F175" s="17">
        <f>VLOOKUP("IN, S",'[1]Raw Data'!$B$2:$O$102,7,FALSE)</f>
        <v>198</v>
      </c>
      <c r="G175" s="17"/>
      <c r="H175" s="17"/>
      <c r="I175" s="17">
        <f>VLOOKUP("IN, S",'[1]Raw Data'!$B$2:$O$102,8,FALSE)</f>
        <v>61</v>
      </c>
      <c r="J175" s="17"/>
      <c r="K175" s="17"/>
      <c r="L175" s="17">
        <f>VLOOKUP("IN, S",'[1]Raw Data'!$B$2:$O$102,9,FALSE)</f>
        <v>199</v>
      </c>
      <c r="M175" s="17"/>
      <c r="N175" s="17"/>
      <c r="O175" s="17">
        <f>VLOOKUP("IN, S",'[1]Raw Data'!$B$2:$O$102,10,FALSE)</f>
        <v>59</v>
      </c>
    </row>
    <row r="176" spans="1:15" ht="13.5" customHeight="1" x14ac:dyDescent="0.25">
      <c r="A176" s="13"/>
      <c r="B176" s="13" t="s">
        <v>11</v>
      </c>
      <c r="C176" s="13"/>
      <c r="D176" s="13"/>
      <c r="E176" s="13"/>
      <c r="F176" s="17">
        <f>VLOOKUP("IN, S",'[1]Raw Data'!$B$2:$O$102,11,FALSE)</f>
        <v>401</v>
      </c>
      <c r="G176" s="17"/>
      <c r="H176" s="17"/>
      <c r="I176" s="17">
        <f>VLOOKUP("IN, S",'[1]Raw Data'!$B$2:$O$102,12,FALSE)</f>
        <v>303</v>
      </c>
      <c r="J176" s="17"/>
      <c r="K176" s="17"/>
      <c r="L176" s="17">
        <f>VLOOKUP("IN, S",'[1]Raw Data'!$B$2:$O$102,13,FALSE)</f>
        <v>629</v>
      </c>
      <c r="M176" s="17"/>
      <c r="N176" s="17"/>
      <c r="O176" s="17">
        <f>VLOOKUP("IN, S",'[1]Raw Data'!$B$2:$O$102,14,FALSE)</f>
        <v>77</v>
      </c>
    </row>
    <row r="177" spans="1:15" ht="12" customHeight="1" x14ac:dyDescent="0.25"/>
    <row r="178" spans="1:15" ht="13.5" customHeight="1" x14ac:dyDescent="0.25">
      <c r="A178" s="13"/>
      <c r="B178" s="13"/>
      <c r="C178" s="18" t="str">
        <f>IF(VLOOKUP("KS",'[1]Raw Data'!$B$2:$O$102,2,FALSE)="CDO","KS"&amp;" "&amp;CHAR(178),"KS")</f>
        <v>KS</v>
      </c>
      <c r="D178" s="13"/>
      <c r="F178" s="15">
        <f>SUM(F179:F181)</f>
        <v>680</v>
      </c>
      <c r="G178" s="15"/>
      <c r="H178" s="15"/>
      <c r="I178" s="15">
        <f>SUM(I179:I181)</f>
        <v>882</v>
      </c>
      <c r="J178" s="15"/>
      <c r="K178" s="15"/>
      <c r="L178" s="15">
        <f>SUM(L179:L181)</f>
        <v>1117</v>
      </c>
      <c r="M178" s="15"/>
      <c r="N178" s="15"/>
      <c r="O178" s="15">
        <f>SUM(O179:O181)</f>
        <v>448</v>
      </c>
    </row>
    <row r="179" spans="1:15" ht="13.5" customHeight="1" x14ac:dyDescent="0.25">
      <c r="A179" s="13"/>
      <c r="B179" s="13" t="s">
        <v>9</v>
      </c>
      <c r="C179" s="13"/>
      <c r="D179" s="13"/>
      <c r="E179" s="13"/>
      <c r="F179" s="17">
        <f>VLOOKUP("KS",'[1]Raw Data'!$B$2:$O$102,3,FALSE)</f>
        <v>265</v>
      </c>
      <c r="G179" s="17"/>
      <c r="H179" s="17"/>
      <c r="I179" s="17">
        <f>VLOOKUP("KS",'[1]Raw Data'!$B$2:$O$102,4,FALSE)</f>
        <v>418</v>
      </c>
      <c r="J179" s="17"/>
      <c r="K179" s="17"/>
      <c r="L179" s="17">
        <f>VLOOKUP("KS",'[1]Raw Data'!$B$2:$O$102,5,FALSE)</f>
        <v>445</v>
      </c>
      <c r="M179" s="17"/>
      <c r="N179" s="17"/>
      <c r="O179" s="17">
        <f>VLOOKUP("KS",'[1]Raw Data'!$B$2:$O$102,6,FALSE)</f>
        <v>245</v>
      </c>
    </row>
    <row r="180" spans="1:15" ht="13.5" customHeight="1" x14ac:dyDescent="0.25">
      <c r="A180" s="13"/>
      <c r="B180" s="13" t="s">
        <v>10</v>
      </c>
      <c r="C180" s="13"/>
      <c r="D180" s="13"/>
      <c r="E180" s="13"/>
      <c r="F180" s="17">
        <f>VLOOKUP("KS",'[1]Raw Data'!$B$2:$O$102,7,FALSE)</f>
        <v>208</v>
      </c>
      <c r="G180" s="17"/>
      <c r="H180" s="17"/>
      <c r="I180" s="17">
        <f>VLOOKUP("KS",'[1]Raw Data'!$B$2:$O$102,8,FALSE)</f>
        <v>56</v>
      </c>
      <c r="J180" s="17"/>
      <c r="K180" s="17"/>
      <c r="L180" s="17">
        <f>VLOOKUP("KS",'[1]Raw Data'!$B$2:$O$102,9,FALSE)</f>
        <v>165</v>
      </c>
      <c r="M180" s="17"/>
      <c r="N180" s="17"/>
      <c r="O180" s="17">
        <f>VLOOKUP("KS",'[1]Raw Data'!$B$2:$O$102,10,FALSE)</f>
        <v>99</v>
      </c>
    </row>
    <row r="181" spans="1:15" ht="13.5" customHeight="1" x14ac:dyDescent="0.25">
      <c r="A181" s="13"/>
      <c r="B181" s="13" t="s">
        <v>11</v>
      </c>
      <c r="C181" s="13"/>
      <c r="D181" s="13"/>
      <c r="E181" s="13"/>
      <c r="F181" s="17">
        <f>VLOOKUP("KS",'[1]Raw Data'!$B$2:$O$102,11,FALSE)</f>
        <v>207</v>
      </c>
      <c r="G181" s="17"/>
      <c r="H181" s="17"/>
      <c r="I181" s="17">
        <f>VLOOKUP("KS",'[1]Raw Data'!$B$2:$O$102,12,FALSE)</f>
        <v>408</v>
      </c>
      <c r="J181" s="17"/>
      <c r="K181" s="17"/>
      <c r="L181" s="17">
        <f>VLOOKUP("KS",'[1]Raw Data'!$B$2:$O$102,13,FALSE)</f>
        <v>507</v>
      </c>
      <c r="M181" s="17"/>
      <c r="N181" s="17"/>
      <c r="O181" s="17">
        <f>VLOOKUP("KS",'[1]Raw Data'!$B$2:$O$102,14,FALSE)</f>
        <v>104</v>
      </c>
    </row>
    <row r="182" spans="1:15" ht="12" customHeight="1" x14ac:dyDescent="0.25"/>
    <row r="183" spans="1:15" ht="13.5" customHeight="1" x14ac:dyDescent="0.25">
      <c r="A183" s="13"/>
      <c r="B183" s="13"/>
      <c r="C183" s="18" t="str">
        <f>IF(VLOOKUP("KY, W",'[1]Raw Data'!$B$2:$O$102,2,FALSE)="CDO","KY, W"&amp;" "&amp;CHAR(178),"KY, W")</f>
        <v>KY, W ²</v>
      </c>
      <c r="D183" s="13"/>
      <c r="F183" s="15">
        <f>SUM(F184:F186)</f>
        <v>151</v>
      </c>
      <c r="G183" s="15"/>
      <c r="H183" s="15"/>
      <c r="I183" s="15">
        <f>SUM(I184:I186)</f>
        <v>318</v>
      </c>
      <c r="J183" s="15"/>
      <c r="K183" s="15"/>
      <c r="L183" s="15">
        <f>SUM(L184:L186)</f>
        <v>318</v>
      </c>
      <c r="M183" s="15"/>
      <c r="N183" s="15"/>
      <c r="O183" s="15">
        <f>SUM(O184:O186)</f>
        <v>151</v>
      </c>
    </row>
    <row r="184" spans="1:15" ht="13.5" customHeight="1" x14ac:dyDescent="0.25">
      <c r="A184" s="13"/>
      <c r="B184" s="13" t="s">
        <v>9</v>
      </c>
      <c r="C184" s="13"/>
      <c r="D184" s="13"/>
      <c r="E184" s="13"/>
      <c r="F184" s="17">
        <f>VLOOKUP("KY, W",'[1]Raw Data'!$B$2:$O$102,3,FALSE)</f>
        <v>112</v>
      </c>
      <c r="G184" s="17"/>
      <c r="H184" s="17"/>
      <c r="I184" s="17">
        <f>VLOOKUP("KY, W",'[1]Raw Data'!$B$2:$O$102,4,FALSE)</f>
        <v>201</v>
      </c>
      <c r="J184" s="17"/>
      <c r="K184" s="17"/>
      <c r="L184" s="17">
        <f>VLOOKUP("KY, W",'[1]Raw Data'!$B$2:$O$102,5,FALSE)</f>
        <v>193</v>
      </c>
      <c r="M184" s="17"/>
      <c r="N184" s="17"/>
      <c r="O184" s="17">
        <f>VLOOKUP("KY, W",'[1]Raw Data'!$B$2:$O$102,6,FALSE)</f>
        <v>120</v>
      </c>
    </row>
    <row r="185" spans="1:15" ht="13.5" customHeight="1" x14ac:dyDescent="0.25">
      <c r="A185" s="13"/>
      <c r="B185" s="13" t="s">
        <v>10</v>
      </c>
      <c r="C185" s="13"/>
      <c r="D185" s="13"/>
      <c r="E185" s="13"/>
      <c r="F185" s="17">
        <f>VLOOKUP("KY, W",'[1]Raw Data'!$B$2:$O$102,7,FALSE)</f>
        <v>15</v>
      </c>
      <c r="G185" s="17"/>
      <c r="H185" s="17"/>
      <c r="I185" s="17">
        <f>VLOOKUP("KY, W",'[1]Raw Data'!$B$2:$O$102,8,FALSE)</f>
        <v>12</v>
      </c>
      <c r="J185" s="17"/>
      <c r="K185" s="17"/>
      <c r="L185" s="17">
        <f>VLOOKUP("KY, W",'[1]Raw Data'!$B$2:$O$102,9,FALSE)</f>
        <v>19</v>
      </c>
      <c r="M185" s="17"/>
      <c r="N185" s="17"/>
      <c r="O185" s="17">
        <f>VLOOKUP("KY, W",'[1]Raw Data'!$B$2:$O$102,10,FALSE)</f>
        <v>8</v>
      </c>
    </row>
    <row r="186" spans="1:15" ht="13.5" customHeight="1" x14ac:dyDescent="0.25">
      <c r="A186" s="13"/>
      <c r="B186" s="13" t="s">
        <v>11</v>
      </c>
      <c r="C186" s="13"/>
      <c r="D186" s="13"/>
      <c r="E186" s="13"/>
      <c r="F186" s="17">
        <f>VLOOKUP("KY, W",'[1]Raw Data'!$B$2:$O$102,11,FALSE)</f>
        <v>24</v>
      </c>
      <c r="G186" s="17"/>
      <c r="H186" s="17"/>
      <c r="I186" s="17">
        <f>VLOOKUP("KY, W",'[1]Raw Data'!$B$2:$O$102,12,FALSE)</f>
        <v>105</v>
      </c>
      <c r="J186" s="17"/>
      <c r="K186" s="17"/>
      <c r="L186" s="17">
        <f>VLOOKUP("KY, W",'[1]Raw Data'!$B$2:$O$102,13,FALSE)</f>
        <v>106</v>
      </c>
      <c r="M186" s="17"/>
      <c r="N186" s="17"/>
      <c r="O186" s="17">
        <f>VLOOKUP("KY, W",'[1]Raw Data'!$B$2:$O$102,14,FALSE)</f>
        <v>23</v>
      </c>
    </row>
    <row r="187" spans="1:15" ht="12" customHeight="1" x14ac:dyDescent="0.25"/>
    <row r="188" spans="1:15" ht="13.5" customHeight="1" x14ac:dyDescent="0.25">
      <c r="A188" s="13"/>
      <c r="B188" s="13"/>
      <c r="C188" s="18" t="str">
        <f>IF(VLOOKUP("LA, E",'[1]Raw Data'!$B$2:$O$102,2,FALSE)="CDO","LA, E"&amp;" "&amp;CHAR(178),"LA, E")</f>
        <v>LA, E</v>
      </c>
      <c r="D188" s="13"/>
      <c r="F188" s="15">
        <f>SUM(F189:F191)</f>
        <v>310</v>
      </c>
      <c r="G188" s="15"/>
      <c r="H188" s="15"/>
      <c r="I188" s="15">
        <f>SUM(I189:I191)</f>
        <v>394</v>
      </c>
      <c r="J188" s="15"/>
      <c r="K188" s="15"/>
      <c r="L188" s="15">
        <f>SUM(L189:L191)</f>
        <v>415</v>
      </c>
      <c r="M188" s="15"/>
      <c r="N188" s="15"/>
      <c r="O188" s="15">
        <f>SUM(O189:O191)</f>
        <v>289</v>
      </c>
    </row>
    <row r="189" spans="1:15" ht="13.5" customHeight="1" x14ac:dyDescent="0.25">
      <c r="A189" s="13"/>
      <c r="B189" s="13" t="s">
        <v>9</v>
      </c>
      <c r="C189" s="13"/>
      <c r="D189" s="13"/>
      <c r="E189" s="13"/>
      <c r="F189" s="17">
        <f>VLOOKUP("LA, E",'[1]Raw Data'!$B$2:$O$102,3,FALSE)</f>
        <v>117</v>
      </c>
      <c r="G189" s="17"/>
      <c r="H189" s="17"/>
      <c r="I189" s="17">
        <f>VLOOKUP("LA, E",'[1]Raw Data'!$B$2:$O$102,4,FALSE)</f>
        <v>160</v>
      </c>
      <c r="J189" s="17"/>
      <c r="K189" s="17"/>
      <c r="L189" s="17">
        <f>VLOOKUP("LA, E",'[1]Raw Data'!$B$2:$O$102,5,FALSE)</f>
        <v>165</v>
      </c>
      <c r="M189" s="17"/>
      <c r="N189" s="17"/>
      <c r="O189" s="17">
        <f>VLOOKUP("LA, E",'[1]Raw Data'!$B$2:$O$102,6,FALSE)</f>
        <v>112</v>
      </c>
    </row>
    <row r="190" spans="1:15" ht="13.5" customHeight="1" x14ac:dyDescent="0.25">
      <c r="A190" s="13"/>
      <c r="B190" s="13" t="s">
        <v>10</v>
      </c>
      <c r="C190" s="13"/>
      <c r="D190" s="13"/>
      <c r="E190" s="13"/>
      <c r="F190" s="17">
        <f>VLOOKUP("LA, E",'[1]Raw Data'!$B$2:$O$102,7,FALSE)</f>
        <v>69</v>
      </c>
      <c r="G190" s="17"/>
      <c r="H190" s="17"/>
      <c r="I190" s="17">
        <f>VLOOKUP("LA, E",'[1]Raw Data'!$B$2:$O$102,8,FALSE)</f>
        <v>33</v>
      </c>
      <c r="J190" s="17"/>
      <c r="K190" s="17"/>
      <c r="L190" s="17">
        <f>VLOOKUP("LA, E",'[1]Raw Data'!$B$2:$O$102,9,FALSE)</f>
        <v>81</v>
      </c>
      <c r="M190" s="17"/>
      <c r="N190" s="17"/>
      <c r="O190" s="17">
        <f>VLOOKUP("LA, E",'[1]Raw Data'!$B$2:$O$102,10,FALSE)</f>
        <v>21</v>
      </c>
    </row>
    <row r="191" spans="1:15" ht="13.5" customHeight="1" x14ac:dyDescent="0.25">
      <c r="A191" s="13"/>
      <c r="B191" s="13" t="s">
        <v>11</v>
      </c>
      <c r="C191" s="13"/>
      <c r="D191" s="13"/>
      <c r="E191" s="13"/>
      <c r="F191" s="17">
        <f>VLOOKUP("LA, E",'[1]Raw Data'!$B$2:$O$102,11,FALSE)</f>
        <v>124</v>
      </c>
      <c r="G191" s="17"/>
      <c r="H191" s="17"/>
      <c r="I191" s="17">
        <f>VLOOKUP("LA, E",'[1]Raw Data'!$B$2:$O$102,12,FALSE)</f>
        <v>201</v>
      </c>
      <c r="J191" s="17"/>
      <c r="K191" s="17"/>
      <c r="L191" s="17">
        <f>VLOOKUP("LA, E",'[1]Raw Data'!$B$2:$O$102,13,FALSE)</f>
        <v>169</v>
      </c>
      <c r="M191" s="17"/>
      <c r="N191" s="17"/>
      <c r="O191" s="17">
        <f>VLOOKUP("LA, E",'[1]Raw Data'!$B$2:$O$102,14,FALSE)</f>
        <v>156</v>
      </c>
    </row>
    <row r="192" spans="1:15" ht="12" customHeight="1" x14ac:dyDescent="0.25"/>
    <row r="193" spans="1:15" ht="13.5" customHeight="1" x14ac:dyDescent="0.25">
      <c r="A193" s="13"/>
      <c r="B193" s="13"/>
      <c r="C193" s="18" t="str">
        <f>IF(VLOOKUP("TOT: LA, M/W",'[1]Raw Data'!$B$2:$O$102,2,FALSE)="CDO","TOT: LA, M/W"&amp;" "&amp;CHAR(178),"TOT: LA, M/W")</f>
        <v>TOT: LA, M/W</v>
      </c>
      <c r="D193" s="13"/>
      <c r="F193" s="15">
        <f>IF(SUM(F194:F196)-SUM(F198,F203)=0,SUM(F194:F196),999999999)</f>
        <v>757</v>
      </c>
      <c r="G193" s="15"/>
      <c r="H193" s="15"/>
      <c r="I193" s="15">
        <f>IF(SUM(I194:I196)-SUM(I198,I203)=0,SUM(I194:I196),999999999)</f>
        <v>501</v>
      </c>
      <c r="J193" s="15"/>
      <c r="K193" s="15"/>
      <c r="L193" s="15">
        <f>IF(SUM(L194:L196)-SUM(L198,L203)=0,SUM(L194:L196),999999999)</f>
        <v>703</v>
      </c>
      <c r="M193" s="15"/>
      <c r="N193" s="15"/>
      <c r="O193" s="15">
        <f>IF(SUM(O194:O196)-SUM(O198,O203)=0,SUM(O194:O196),999999999)</f>
        <v>552</v>
      </c>
    </row>
    <row r="194" spans="1:15" ht="13.5" customHeight="1" x14ac:dyDescent="0.25">
      <c r="A194" s="13"/>
      <c r="B194" s="13" t="s">
        <v>9</v>
      </c>
      <c r="C194" s="13"/>
      <c r="D194" s="13"/>
      <c r="E194" s="13"/>
      <c r="F194" s="17">
        <f>VLOOKUP("TOT: LA, M/W",'[1]Raw Data'!$B$2:$O$102,3,FALSE)</f>
        <v>176</v>
      </c>
      <c r="G194" s="17"/>
      <c r="H194" s="17"/>
      <c r="I194" s="17">
        <f>VLOOKUP("TOT: LA, M/W",'[1]Raw Data'!$B$2:$O$102,4,FALSE)</f>
        <v>280</v>
      </c>
      <c r="J194" s="17"/>
      <c r="K194" s="17"/>
      <c r="L194" s="17">
        <f>VLOOKUP("TOT: LA, M/W",'[1]Raw Data'!$B$2:$O$102,5,FALSE)</f>
        <v>257</v>
      </c>
      <c r="M194" s="17"/>
      <c r="N194" s="17"/>
      <c r="O194" s="17">
        <f>VLOOKUP("TOT: LA, M/W",'[1]Raw Data'!$B$2:$O$102,6,FALSE)</f>
        <v>198</v>
      </c>
    </row>
    <row r="195" spans="1:15" ht="13.5" customHeight="1" x14ac:dyDescent="0.25">
      <c r="A195" s="13"/>
      <c r="B195" s="13" t="s">
        <v>10</v>
      </c>
      <c r="C195" s="13"/>
      <c r="D195" s="13"/>
      <c r="E195" s="13"/>
      <c r="F195" s="17">
        <f>VLOOKUP("TOT: LA, M/W",'[1]Raw Data'!$B$2:$O$102,7,FALSE)</f>
        <v>148</v>
      </c>
      <c r="G195" s="17"/>
      <c r="H195" s="17"/>
      <c r="I195" s="17">
        <f>VLOOKUP("TOT: LA, M/W",'[1]Raw Data'!$B$2:$O$102,8,FALSE)</f>
        <v>56</v>
      </c>
      <c r="J195" s="17"/>
      <c r="K195" s="17"/>
      <c r="L195" s="17">
        <f>VLOOKUP("TOT: LA, M/W",'[1]Raw Data'!$B$2:$O$102,9,FALSE)</f>
        <v>60</v>
      </c>
      <c r="M195" s="17"/>
      <c r="N195" s="17"/>
      <c r="O195" s="17">
        <f>VLOOKUP("TOT: LA, M/W",'[1]Raw Data'!$B$2:$O$102,10,FALSE)</f>
        <v>144</v>
      </c>
    </row>
    <row r="196" spans="1:15" ht="13.5" customHeight="1" x14ac:dyDescent="0.25">
      <c r="A196" s="13"/>
      <c r="B196" s="13" t="s">
        <v>11</v>
      </c>
      <c r="C196" s="13"/>
      <c r="D196" s="13"/>
      <c r="E196" s="13"/>
      <c r="F196" s="17">
        <f>VLOOKUP("TOT: LA, M/W",'[1]Raw Data'!$B$2:$O$102,11,FALSE)</f>
        <v>433</v>
      </c>
      <c r="G196" s="17"/>
      <c r="H196" s="17"/>
      <c r="I196" s="17">
        <f>VLOOKUP("TOT: LA, M/W",'[1]Raw Data'!$B$2:$O$102,12,FALSE)</f>
        <v>165</v>
      </c>
      <c r="J196" s="17"/>
      <c r="K196" s="17"/>
      <c r="L196" s="17">
        <f>VLOOKUP("TOT: LA, M/W",'[1]Raw Data'!$B$2:$O$102,13,FALSE)</f>
        <v>386</v>
      </c>
      <c r="M196" s="17"/>
      <c r="N196" s="17"/>
      <c r="O196" s="17">
        <f>VLOOKUP("TOT: LA, M/W",'[1]Raw Data'!$B$2:$O$102,14,FALSE)</f>
        <v>210</v>
      </c>
    </row>
    <row r="197" spans="1:15" ht="12" customHeight="1" x14ac:dyDescent="0.25"/>
    <row r="198" spans="1:15" ht="13.5" customHeight="1" x14ac:dyDescent="0.25">
      <c r="A198" s="13"/>
      <c r="B198" s="13"/>
      <c r="C198" s="18" t="str">
        <f>IF(VLOOKUP("   LA, M",'[1]Raw Data'!$B$2:$O$102,2,FALSE)="CDO","LA, M"&amp;" "&amp;CHAR(178),"LA, M")</f>
        <v>LA, M</v>
      </c>
      <c r="D198" s="13"/>
      <c r="F198" s="15">
        <f>SUM(F199:F201)</f>
        <v>158</v>
      </c>
      <c r="G198" s="15"/>
      <c r="H198" s="15"/>
      <c r="I198" s="15">
        <f>SUM(I199:I201)</f>
        <v>134</v>
      </c>
      <c r="J198" s="15"/>
      <c r="K198" s="15"/>
      <c r="L198" s="15">
        <f>SUM(L199:L201)</f>
        <v>194</v>
      </c>
      <c r="M198" s="15"/>
      <c r="N198" s="15"/>
      <c r="O198" s="15">
        <f>SUM(O199:O201)</f>
        <v>96</v>
      </c>
    </row>
    <row r="199" spans="1:15" ht="13.5" customHeight="1" x14ac:dyDescent="0.25">
      <c r="A199" s="13"/>
      <c r="B199" s="13" t="s">
        <v>9</v>
      </c>
      <c r="C199" s="13"/>
      <c r="D199" s="13"/>
      <c r="E199" s="13"/>
      <c r="F199" s="17">
        <f>VLOOKUP("   LA, M",'[1]Raw Data'!$B$2:$O$102,3,FALSE)</f>
        <v>55</v>
      </c>
      <c r="G199" s="17"/>
      <c r="H199" s="17"/>
      <c r="I199" s="17">
        <f>VLOOKUP("   LA, M",'[1]Raw Data'!$B$2:$O$102,4,FALSE)</f>
        <v>92</v>
      </c>
      <c r="J199" s="17"/>
      <c r="K199" s="17"/>
      <c r="L199" s="17">
        <f>VLOOKUP("   LA, M",'[1]Raw Data'!$B$2:$O$102,5,FALSE)</f>
        <v>94</v>
      </c>
      <c r="M199" s="17"/>
      <c r="N199" s="17"/>
      <c r="O199" s="17">
        <f>VLOOKUP("   LA, M",'[1]Raw Data'!$B$2:$O$102,6,FALSE)</f>
        <v>52</v>
      </c>
    </row>
    <row r="200" spans="1:15" ht="13.5" customHeight="1" x14ac:dyDescent="0.25">
      <c r="A200" s="13"/>
      <c r="B200" s="13" t="s">
        <v>10</v>
      </c>
      <c r="C200" s="13"/>
      <c r="D200" s="13"/>
      <c r="E200" s="13"/>
      <c r="F200" s="17">
        <f>VLOOKUP("   LA, M",'[1]Raw Data'!$B$2:$O$102,7,FALSE)</f>
        <v>25</v>
      </c>
      <c r="G200" s="17"/>
      <c r="H200" s="17"/>
      <c r="I200" s="17">
        <f>VLOOKUP("   LA, M",'[1]Raw Data'!$B$2:$O$102,8,FALSE)</f>
        <v>7</v>
      </c>
      <c r="J200" s="17"/>
      <c r="K200" s="17"/>
      <c r="L200" s="17">
        <f>VLOOKUP("   LA, M",'[1]Raw Data'!$B$2:$O$102,9,FALSE)</f>
        <v>9</v>
      </c>
      <c r="M200" s="17"/>
      <c r="N200" s="17"/>
      <c r="O200" s="17">
        <f>VLOOKUP("   LA, M",'[1]Raw Data'!$B$2:$O$102,10,FALSE)</f>
        <v>23</v>
      </c>
    </row>
    <row r="201" spans="1:15" ht="13.5" customHeight="1" x14ac:dyDescent="0.25">
      <c r="A201" s="13"/>
      <c r="B201" s="13" t="s">
        <v>11</v>
      </c>
      <c r="C201" s="13"/>
      <c r="D201" s="13"/>
      <c r="E201" s="13"/>
      <c r="F201" s="17">
        <f>VLOOKUP("   LA, M",'[1]Raw Data'!$B$2:$O$102,11,FALSE)</f>
        <v>78</v>
      </c>
      <c r="G201" s="17"/>
      <c r="H201" s="17"/>
      <c r="I201" s="17">
        <f>VLOOKUP("   LA, M",'[1]Raw Data'!$B$2:$O$102,12,FALSE)</f>
        <v>35</v>
      </c>
      <c r="J201" s="17"/>
      <c r="K201" s="17"/>
      <c r="L201" s="17">
        <f>VLOOKUP("   LA, M",'[1]Raw Data'!$B$2:$O$102,13,FALSE)</f>
        <v>91</v>
      </c>
      <c r="M201" s="17"/>
      <c r="N201" s="17"/>
      <c r="O201" s="17">
        <f>VLOOKUP("   LA, M",'[1]Raw Data'!$B$2:$O$102,14,FALSE)</f>
        <v>21</v>
      </c>
    </row>
    <row r="202" spans="1:15" ht="12" customHeight="1" x14ac:dyDescent="0.25"/>
    <row r="203" spans="1:15" ht="13.5" customHeight="1" x14ac:dyDescent="0.25">
      <c r="A203" s="13"/>
      <c r="B203" s="13"/>
      <c r="C203" s="18" t="str">
        <f>IF(VLOOKUP("   LA, W",'[1]Raw Data'!$B$2:$O$102,2,FALSE)="CDO","LA, W"&amp;" "&amp;CHAR(178),"LA, W")</f>
        <v>LA, W</v>
      </c>
      <c r="D203" s="13"/>
      <c r="F203" s="15">
        <f>SUM(F204:F206)</f>
        <v>599</v>
      </c>
      <c r="G203" s="15"/>
      <c r="H203" s="15"/>
      <c r="I203" s="15">
        <f>SUM(I204:I206)</f>
        <v>367</v>
      </c>
      <c r="J203" s="15"/>
      <c r="K203" s="15"/>
      <c r="L203" s="15">
        <f>SUM(L204:L206)</f>
        <v>509</v>
      </c>
      <c r="M203" s="15"/>
      <c r="N203" s="15"/>
      <c r="O203" s="15">
        <f>SUM(O204:O206)</f>
        <v>456</v>
      </c>
    </row>
    <row r="204" spans="1:15" ht="13.5" customHeight="1" x14ac:dyDescent="0.25">
      <c r="A204" s="13"/>
      <c r="B204" s="13" t="s">
        <v>9</v>
      </c>
      <c r="C204" s="13"/>
      <c r="D204" s="13"/>
      <c r="E204" s="13"/>
      <c r="F204" s="17">
        <f>VLOOKUP("   LA, W",'[1]Raw Data'!$B$2:$O$102,3,FALSE)</f>
        <v>121</v>
      </c>
      <c r="G204" s="17"/>
      <c r="H204" s="17"/>
      <c r="I204" s="17">
        <f>VLOOKUP("   LA, W",'[1]Raw Data'!$B$2:$O$102,4,FALSE)</f>
        <v>188</v>
      </c>
      <c r="J204" s="17"/>
      <c r="K204" s="17"/>
      <c r="L204" s="17">
        <f>VLOOKUP("   LA, W",'[1]Raw Data'!$B$2:$O$102,5,FALSE)</f>
        <v>163</v>
      </c>
      <c r="M204" s="17"/>
      <c r="N204" s="17"/>
      <c r="O204" s="17">
        <f>VLOOKUP("   LA, W",'[1]Raw Data'!$B$2:$O$102,6,FALSE)</f>
        <v>146</v>
      </c>
    </row>
    <row r="205" spans="1:15" ht="13.5" customHeight="1" x14ac:dyDescent="0.25">
      <c r="A205" s="13"/>
      <c r="B205" s="13" t="s">
        <v>10</v>
      </c>
      <c r="C205" s="13"/>
      <c r="D205" s="13"/>
      <c r="E205" s="13"/>
      <c r="F205" s="17">
        <f>VLOOKUP("   LA, W",'[1]Raw Data'!$B$2:$O$102,7,FALSE)</f>
        <v>123</v>
      </c>
      <c r="G205" s="17"/>
      <c r="H205" s="17"/>
      <c r="I205" s="17">
        <f>VLOOKUP("   LA, W",'[1]Raw Data'!$B$2:$O$102,8,FALSE)</f>
        <v>49</v>
      </c>
      <c r="J205" s="17"/>
      <c r="K205" s="17"/>
      <c r="L205" s="17">
        <f>VLOOKUP("   LA, W",'[1]Raw Data'!$B$2:$O$102,9,FALSE)</f>
        <v>51</v>
      </c>
      <c r="M205" s="17"/>
      <c r="N205" s="17"/>
      <c r="O205" s="17">
        <f>VLOOKUP("   LA, W",'[1]Raw Data'!$B$2:$O$102,10,FALSE)</f>
        <v>121</v>
      </c>
    </row>
    <row r="206" spans="1:15" ht="13.5" customHeight="1" x14ac:dyDescent="0.25">
      <c r="A206" s="13"/>
      <c r="B206" s="13" t="s">
        <v>11</v>
      </c>
      <c r="C206" s="13"/>
      <c r="D206" s="13"/>
      <c r="E206" s="13"/>
      <c r="F206" s="17">
        <f>VLOOKUP("   LA, W",'[1]Raw Data'!$B$2:$O$102,11,FALSE)</f>
        <v>355</v>
      </c>
      <c r="G206" s="17"/>
      <c r="H206" s="17"/>
      <c r="I206" s="17">
        <f>VLOOKUP("   LA, W",'[1]Raw Data'!$B$2:$O$102,12,FALSE)</f>
        <v>130</v>
      </c>
      <c r="J206" s="17"/>
      <c r="K206" s="17"/>
      <c r="L206" s="17">
        <f>VLOOKUP("   LA, W",'[1]Raw Data'!$B$2:$O$102,13,FALSE)</f>
        <v>295</v>
      </c>
      <c r="M206" s="17"/>
      <c r="N206" s="17"/>
      <c r="O206" s="17">
        <f>VLOOKUP("   LA, W",'[1]Raw Data'!$B$2:$O$102,14,FALSE)</f>
        <v>189</v>
      </c>
    </row>
    <row r="207" spans="1:15" ht="12" customHeight="1" x14ac:dyDescent="0.25"/>
    <row r="208" spans="1:15" ht="13.5" customHeight="1" x14ac:dyDescent="0.25">
      <c r="A208" s="13"/>
      <c r="B208" s="13"/>
      <c r="C208" s="18" t="str">
        <f>IF(VLOOKUP("TOT: MA/NH/RI",'[1]Raw Data'!$B$2:$O$102,2,FALSE)="CDO","TOT: MA/NH/RI"&amp;" "&amp;CHAR(178),"TOT: MA/NH/RI")</f>
        <v>TOT: MA/NH/RI</v>
      </c>
      <c r="D208" s="13"/>
      <c r="F208" s="15">
        <f>IF(SUM(F209:F211)-SUM(F213,F218,F223)=0,SUM(F209:F211),999999999)</f>
        <v>804</v>
      </c>
      <c r="G208" s="15"/>
      <c r="H208" s="15"/>
      <c r="I208" s="15">
        <f>IF(SUM(I209:I211)-SUM(I213,I218,I223)=0,SUM(I209:I211),999999999)</f>
        <v>906</v>
      </c>
      <c r="J208" s="15"/>
      <c r="K208" s="15"/>
      <c r="L208" s="15">
        <f>IF(SUM(L209:L211)-SUM(L213,L218,L223)=0,SUM(L209:L211),999999999)</f>
        <v>1062</v>
      </c>
      <c r="M208" s="15"/>
      <c r="N208" s="15"/>
      <c r="O208" s="15">
        <f>IF(SUM(O209:O211)-SUM(O213,O218,O223)=0,SUM(O209:O211),999999999)</f>
        <v>642</v>
      </c>
    </row>
    <row r="209" spans="1:15" ht="13.5" customHeight="1" x14ac:dyDescent="0.25">
      <c r="A209" s="13"/>
      <c r="B209" s="13" t="s">
        <v>9</v>
      </c>
      <c r="C209" s="13"/>
      <c r="D209" s="13"/>
      <c r="E209" s="13"/>
      <c r="F209" s="17">
        <f>VLOOKUP("TOT: MA/NH/RI",'[1]Raw Data'!$B$2:$O$102,3,FALSE)</f>
        <v>319</v>
      </c>
      <c r="G209" s="17"/>
      <c r="H209" s="17"/>
      <c r="I209" s="17">
        <f>VLOOKUP("TOT: MA/NH/RI",'[1]Raw Data'!$B$2:$O$102,4,FALSE)</f>
        <v>420</v>
      </c>
      <c r="J209" s="17"/>
      <c r="K209" s="17"/>
      <c r="L209" s="17">
        <f>VLOOKUP("TOT: MA/NH/RI",'[1]Raw Data'!$B$2:$O$102,5,FALSE)</f>
        <v>442</v>
      </c>
      <c r="M209" s="17"/>
      <c r="N209" s="17"/>
      <c r="O209" s="17">
        <f>VLOOKUP("TOT: MA/NH/RI",'[1]Raw Data'!$B$2:$O$102,6,FALSE)</f>
        <v>301</v>
      </c>
    </row>
    <row r="210" spans="1:15" ht="13.5" customHeight="1" x14ac:dyDescent="0.25">
      <c r="A210" s="13"/>
      <c r="B210" s="13" t="s">
        <v>10</v>
      </c>
      <c r="C210" s="13"/>
      <c r="D210" s="13"/>
      <c r="E210" s="13"/>
      <c r="F210" s="17">
        <f>VLOOKUP("TOT: MA/NH/RI",'[1]Raw Data'!$B$2:$O$102,7,FALSE)</f>
        <v>267</v>
      </c>
      <c r="G210" s="17"/>
      <c r="H210" s="17"/>
      <c r="I210" s="17">
        <f>VLOOKUP("TOT: MA/NH/RI",'[1]Raw Data'!$B$2:$O$102,8,FALSE)</f>
        <v>75</v>
      </c>
      <c r="J210" s="17"/>
      <c r="K210" s="17"/>
      <c r="L210" s="17">
        <f>VLOOKUP("TOT: MA/NH/RI",'[1]Raw Data'!$B$2:$O$102,9,FALSE)</f>
        <v>200</v>
      </c>
      <c r="M210" s="17"/>
      <c r="N210" s="17"/>
      <c r="O210" s="17">
        <f>VLOOKUP("TOT: MA/NH/RI",'[1]Raw Data'!$B$2:$O$102,10,FALSE)</f>
        <v>138</v>
      </c>
    </row>
    <row r="211" spans="1:15" ht="13.5" customHeight="1" x14ac:dyDescent="0.25">
      <c r="A211" s="13"/>
      <c r="B211" s="13" t="s">
        <v>11</v>
      </c>
      <c r="C211" s="13"/>
      <c r="D211" s="13"/>
      <c r="E211" s="13"/>
      <c r="F211" s="17">
        <f>VLOOKUP("TOT: MA/NH/RI",'[1]Raw Data'!$B$2:$O$102,11,FALSE)</f>
        <v>218</v>
      </c>
      <c r="G211" s="17"/>
      <c r="H211" s="17"/>
      <c r="I211" s="17">
        <f>VLOOKUP("TOT: MA/NH/RI",'[1]Raw Data'!$B$2:$O$102,12,FALSE)</f>
        <v>411</v>
      </c>
      <c r="J211" s="17"/>
      <c r="K211" s="17"/>
      <c r="L211" s="17">
        <f>VLOOKUP("TOT: MA/NH/RI",'[1]Raw Data'!$B$2:$O$102,13,FALSE)</f>
        <v>420</v>
      </c>
      <c r="M211" s="17"/>
      <c r="N211" s="17"/>
      <c r="O211" s="17">
        <f>VLOOKUP("TOT: MA/NH/RI",'[1]Raw Data'!$B$2:$O$102,14,FALSE)</f>
        <v>203</v>
      </c>
    </row>
    <row r="212" spans="1:15" ht="12" customHeight="1" x14ac:dyDescent="0.25"/>
    <row r="213" spans="1:15" ht="13.5" customHeight="1" x14ac:dyDescent="0.25">
      <c r="A213" s="13"/>
      <c r="B213" s="13"/>
      <c r="C213" s="18" t="str">
        <f>IF(VLOOKUP("   MA",'[1]Raw Data'!$B$2:$O$102,2,FALSE)="CDO","MA"&amp;" "&amp;CHAR(178),"MA")</f>
        <v>MA</v>
      </c>
      <c r="D213" s="13"/>
      <c r="F213" s="15">
        <f>SUM(F214:F216)</f>
        <v>448</v>
      </c>
      <c r="G213" s="15"/>
      <c r="H213" s="15"/>
      <c r="I213" s="15">
        <f>SUM(I214:I216)</f>
        <v>507</v>
      </c>
      <c r="J213" s="15"/>
      <c r="K213" s="15"/>
      <c r="L213" s="15">
        <f>SUM(L214:L216)</f>
        <v>527</v>
      </c>
      <c r="M213" s="15"/>
      <c r="N213" s="15"/>
      <c r="O213" s="15">
        <f>SUM(O214:O216)</f>
        <v>423</v>
      </c>
    </row>
    <row r="214" spans="1:15" ht="13.5" customHeight="1" x14ac:dyDescent="0.25">
      <c r="A214" s="13"/>
      <c r="B214" s="13" t="s">
        <v>9</v>
      </c>
      <c r="C214" s="13"/>
      <c r="D214" s="13"/>
      <c r="E214" s="13"/>
      <c r="F214" s="17">
        <f>VLOOKUP("   MA",'[1]Raw Data'!$B$2:$O$102,3,FALSE)</f>
        <v>165</v>
      </c>
      <c r="G214" s="17"/>
      <c r="H214" s="17"/>
      <c r="I214" s="17">
        <f>VLOOKUP("   MA",'[1]Raw Data'!$B$2:$O$102,4,FALSE)</f>
        <v>222</v>
      </c>
      <c r="J214" s="17"/>
      <c r="K214" s="17"/>
      <c r="L214" s="17">
        <f>VLOOKUP("   MA",'[1]Raw Data'!$B$2:$O$102,5,FALSE)</f>
        <v>218</v>
      </c>
      <c r="M214" s="17"/>
      <c r="N214" s="17"/>
      <c r="O214" s="17">
        <f>VLOOKUP("   MA",'[1]Raw Data'!$B$2:$O$102,6,FALSE)</f>
        <v>167</v>
      </c>
    </row>
    <row r="215" spans="1:15" ht="13.5" customHeight="1" x14ac:dyDescent="0.25">
      <c r="A215" s="13"/>
      <c r="B215" s="13" t="s">
        <v>10</v>
      </c>
      <c r="C215" s="13"/>
      <c r="D215" s="13"/>
      <c r="E215" s="13"/>
      <c r="F215" s="17">
        <f>VLOOKUP("   MA",'[1]Raw Data'!$B$2:$O$102,7,FALSE)</f>
        <v>131</v>
      </c>
      <c r="G215" s="17"/>
      <c r="H215" s="17"/>
      <c r="I215" s="17">
        <f>VLOOKUP("   MA",'[1]Raw Data'!$B$2:$O$102,8,FALSE)</f>
        <v>39</v>
      </c>
      <c r="J215" s="17"/>
      <c r="K215" s="17"/>
      <c r="L215" s="17">
        <f>VLOOKUP("   MA",'[1]Raw Data'!$B$2:$O$102,9,FALSE)</f>
        <v>66</v>
      </c>
      <c r="M215" s="17"/>
      <c r="N215" s="17"/>
      <c r="O215" s="17">
        <f>VLOOKUP("   MA",'[1]Raw Data'!$B$2:$O$102,10,FALSE)</f>
        <v>100</v>
      </c>
    </row>
    <row r="216" spans="1:15" ht="13.5" customHeight="1" x14ac:dyDescent="0.25">
      <c r="A216" s="13"/>
      <c r="B216" s="13" t="s">
        <v>11</v>
      </c>
      <c r="C216" s="13"/>
      <c r="D216" s="13"/>
      <c r="E216" s="13"/>
      <c r="F216" s="17">
        <f>VLOOKUP("   MA",'[1]Raw Data'!$B$2:$O$102,11,FALSE)</f>
        <v>152</v>
      </c>
      <c r="G216" s="17"/>
      <c r="H216" s="17"/>
      <c r="I216" s="17">
        <f>VLOOKUP("   MA",'[1]Raw Data'!$B$2:$O$102,12,FALSE)</f>
        <v>246</v>
      </c>
      <c r="J216" s="17"/>
      <c r="K216" s="17"/>
      <c r="L216" s="17">
        <f>VLOOKUP("   MA",'[1]Raw Data'!$B$2:$O$102,13,FALSE)</f>
        <v>243</v>
      </c>
      <c r="M216" s="17"/>
      <c r="N216" s="17"/>
      <c r="O216" s="17">
        <f>VLOOKUP("   MA",'[1]Raw Data'!$B$2:$O$102,14,FALSE)</f>
        <v>156</v>
      </c>
    </row>
    <row r="217" spans="1:15" ht="12" customHeight="1" x14ac:dyDescent="0.25">
      <c r="A217" s="13"/>
      <c r="B217" s="13"/>
      <c r="C217" s="13"/>
      <c r="D217" s="13"/>
      <c r="E217" s="13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 ht="13.5" customHeight="1" x14ac:dyDescent="0.25">
      <c r="A218" s="13"/>
      <c r="B218" s="13"/>
      <c r="C218" s="18" t="str">
        <f>IF(VLOOKUP("   NH",'[1]Raw Data'!$B$2:$O$102,2,FALSE)="CDO","NH"&amp;" "&amp;CHAR(178),"NH")</f>
        <v>NH</v>
      </c>
      <c r="D218" s="13"/>
      <c r="F218" s="15">
        <f>SUM(F219:F221)</f>
        <v>171</v>
      </c>
      <c r="G218" s="15"/>
      <c r="H218" s="15"/>
      <c r="I218" s="15">
        <f>SUM(I219:I221)</f>
        <v>232</v>
      </c>
      <c r="J218" s="15"/>
      <c r="K218" s="15"/>
      <c r="L218" s="15">
        <f>SUM(L219:L221)</f>
        <v>283</v>
      </c>
      <c r="M218" s="15"/>
      <c r="N218" s="15"/>
      <c r="O218" s="15">
        <f>SUM(O219:O221)</f>
        <v>118</v>
      </c>
    </row>
    <row r="219" spans="1:15" ht="13.5" customHeight="1" x14ac:dyDescent="0.25">
      <c r="A219" s="13"/>
      <c r="B219" s="13" t="s">
        <v>9</v>
      </c>
      <c r="C219" s="13"/>
      <c r="D219" s="13"/>
      <c r="E219" s="13"/>
      <c r="F219" s="17">
        <f>VLOOKUP("   NH",'[1]Raw Data'!$B$2:$O$102,3,FALSE)</f>
        <v>88</v>
      </c>
      <c r="G219" s="17"/>
      <c r="H219" s="17"/>
      <c r="I219" s="17">
        <f>VLOOKUP("   NH",'[1]Raw Data'!$B$2:$O$102,4,FALSE)</f>
        <v>137</v>
      </c>
      <c r="J219" s="17"/>
      <c r="K219" s="17"/>
      <c r="L219" s="17">
        <f>VLOOKUP("   NH",'[1]Raw Data'!$B$2:$O$102,5,FALSE)</f>
        <v>158</v>
      </c>
      <c r="M219" s="17"/>
      <c r="N219" s="17"/>
      <c r="O219" s="17">
        <f>VLOOKUP("   NH",'[1]Raw Data'!$B$2:$O$102,6,FALSE)</f>
        <v>72</v>
      </c>
    </row>
    <row r="220" spans="1:15" ht="13.5" customHeight="1" x14ac:dyDescent="0.25">
      <c r="A220" s="13"/>
      <c r="B220" s="13" t="s">
        <v>10</v>
      </c>
      <c r="C220" s="13"/>
      <c r="D220" s="13"/>
      <c r="E220" s="13"/>
      <c r="F220" s="17">
        <f>VLOOKUP("   NH",'[1]Raw Data'!$B$2:$O$102,7,FALSE)</f>
        <v>47</v>
      </c>
      <c r="G220" s="17"/>
      <c r="H220" s="17"/>
      <c r="I220" s="17">
        <f>VLOOKUP("   NH",'[1]Raw Data'!$B$2:$O$102,8,FALSE)</f>
        <v>19</v>
      </c>
      <c r="J220" s="17"/>
      <c r="K220" s="17"/>
      <c r="L220" s="17">
        <f>VLOOKUP("   NH",'[1]Raw Data'!$B$2:$O$102,9,FALSE)</f>
        <v>47</v>
      </c>
      <c r="M220" s="17"/>
      <c r="N220" s="17"/>
      <c r="O220" s="17">
        <f>VLOOKUP("   NH",'[1]Raw Data'!$B$2:$O$102,10,FALSE)</f>
        <v>19</v>
      </c>
    </row>
    <row r="221" spans="1:15" ht="13.5" customHeight="1" x14ac:dyDescent="0.25">
      <c r="A221" s="13"/>
      <c r="B221" s="13" t="s">
        <v>11</v>
      </c>
      <c r="C221" s="13"/>
      <c r="D221" s="13"/>
      <c r="E221" s="13"/>
      <c r="F221" s="17">
        <f>VLOOKUP("   NH",'[1]Raw Data'!$B$2:$O$102,11,FALSE)</f>
        <v>36</v>
      </c>
      <c r="G221" s="17"/>
      <c r="H221" s="17"/>
      <c r="I221" s="17">
        <f>VLOOKUP("   NH",'[1]Raw Data'!$B$2:$O$102,12,FALSE)</f>
        <v>76</v>
      </c>
      <c r="J221" s="17"/>
      <c r="K221" s="17"/>
      <c r="L221" s="17">
        <f>VLOOKUP("   NH",'[1]Raw Data'!$B$2:$O$102,13,FALSE)</f>
        <v>78</v>
      </c>
      <c r="M221" s="17"/>
      <c r="N221" s="17"/>
      <c r="O221" s="17">
        <f>VLOOKUP("   NH",'[1]Raw Data'!$B$2:$O$102,14,FALSE)</f>
        <v>27</v>
      </c>
    </row>
    <row r="222" spans="1:15" ht="12" customHeight="1" x14ac:dyDescent="0.25"/>
    <row r="223" spans="1:15" ht="13.5" customHeight="1" x14ac:dyDescent="0.25">
      <c r="A223" s="13"/>
      <c r="B223" s="13"/>
      <c r="C223" s="18" t="str">
        <f>IF(VLOOKUP("   RI",'[1]Raw Data'!$B$2:$O$102,2,FALSE)="CDO","RI"&amp;" "&amp;CHAR(178),"RI")</f>
        <v>RI</v>
      </c>
      <c r="D223" s="13"/>
      <c r="F223" s="15">
        <f>SUM(F224:F226)</f>
        <v>185</v>
      </c>
      <c r="G223" s="15"/>
      <c r="H223" s="15"/>
      <c r="I223" s="15">
        <f>SUM(I224:I226)</f>
        <v>167</v>
      </c>
      <c r="J223" s="15"/>
      <c r="K223" s="15"/>
      <c r="L223" s="15">
        <f>SUM(L224:L226)</f>
        <v>252</v>
      </c>
      <c r="M223" s="15"/>
      <c r="N223" s="15"/>
      <c r="O223" s="15">
        <f>SUM(O224:O226)</f>
        <v>101</v>
      </c>
    </row>
    <row r="224" spans="1:15" ht="13.5" customHeight="1" x14ac:dyDescent="0.25">
      <c r="A224" s="13"/>
      <c r="B224" s="13" t="s">
        <v>9</v>
      </c>
      <c r="C224" s="13"/>
      <c r="D224" s="13"/>
      <c r="E224" s="13"/>
      <c r="F224" s="17">
        <f>VLOOKUP("   RI",'[1]Raw Data'!$B$2:$O$102,3,FALSE)</f>
        <v>66</v>
      </c>
      <c r="G224" s="17"/>
      <c r="H224" s="17"/>
      <c r="I224" s="17">
        <f>VLOOKUP("   RI",'[1]Raw Data'!$B$2:$O$102,4,FALSE)</f>
        <v>61</v>
      </c>
      <c r="J224" s="17"/>
      <c r="K224" s="17"/>
      <c r="L224" s="17">
        <f>VLOOKUP("   RI",'[1]Raw Data'!$B$2:$O$102,5,FALSE)</f>
        <v>66</v>
      </c>
      <c r="M224" s="17"/>
      <c r="N224" s="17"/>
      <c r="O224" s="17">
        <f>VLOOKUP("   RI",'[1]Raw Data'!$B$2:$O$102,6,FALSE)</f>
        <v>62</v>
      </c>
    </row>
    <row r="225" spans="1:15" ht="13.5" customHeight="1" x14ac:dyDescent="0.25">
      <c r="A225" s="13"/>
      <c r="B225" s="13" t="s">
        <v>10</v>
      </c>
      <c r="C225" s="13"/>
      <c r="D225" s="13"/>
      <c r="E225" s="13"/>
      <c r="F225" s="17">
        <f>VLOOKUP("   RI",'[1]Raw Data'!$B$2:$O$102,7,FALSE)</f>
        <v>89</v>
      </c>
      <c r="G225" s="17"/>
      <c r="H225" s="17"/>
      <c r="I225" s="17">
        <f>VLOOKUP("   RI",'[1]Raw Data'!$B$2:$O$102,8,FALSE)</f>
        <v>17</v>
      </c>
      <c r="J225" s="17"/>
      <c r="K225" s="17"/>
      <c r="L225" s="17">
        <f>VLOOKUP("   RI",'[1]Raw Data'!$B$2:$O$102,9,FALSE)</f>
        <v>87</v>
      </c>
      <c r="M225" s="17"/>
      <c r="N225" s="17"/>
      <c r="O225" s="17">
        <f>VLOOKUP("   RI",'[1]Raw Data'!$B$2:$O$102,10,FALSE)</f>
        <v>19</v>
      </c>
    </row>
    <row r="226" spans="1:15" ht="13.5" customHeight="1" x14ac:dyDescent="0.25">
      <c r="A226" s="13"/>
      <c r="B226" s="13" t="s">
        <v>11</v>
      </c>
      <c r="C226" s="13"/>
      <c r="D226" s="13"/>
      <c r="E226" s="13"/>
      <c r="F226" s="17">
        <f>VLOOKUP("   RI",'[1]Raw Data'!$B$2:$O$102,11,FALSE)</f>
        <v>30</v>
      </c>
      <c r="G226" s="17"/>
      <c r="H226" s="17"/>
      <c r="I226" s="17">
        <f>VLOOKUP("   RI",'[1]Raw Data'!$B$2:$O$102,12,FALSE)</f>
        <v>89</v>
      </c>
      <c r="J226" s="17"/>
      <c r="K226" s="17"/>
      <c r="L226" s="17">
        <f>VLOOKUP("   RI",'[1]Raw Data'!$B$2:$O$102,13,FALSE)</f>
        <v>99</v>
      </c>
      <c r="M226" s="17"/>
      <c r="N226" s="17"/>
      <c r="O226" s="17">
        <f>VLOOKUP("   RI",'[1]Raw Data'!$B$2:$O$102,14,FALSE)</f>
        <v>20</v>
      </c>
    </row>
    <row r="227" spans="1:15" ht="12" customHeight="1" x14ac:dyDescent="0.25"/>
    <row r="228" spans="1:15" ht="13.5" customHeight="1" x14ac:dyDescent="0.25">
      <c r="A228" s="13"/>
      <c r="B228" s="13"/>
      <c r="C228" s="18" t="str">
        <f>IF(VLOOKUP("MD",'[1]Raw Data'!$B$2:$O$102,2,FALSE)="CDO","MD"&amp;" "&amp;CHAR(178),"MD")</f>
        <v>MD</v>
      </c>
      <c r="D228" s="13"/>
      <c r="F228" s="15">
        <f>SUM(F229:F231)</f>
        <v>2690</v>
      </c>
      <c r="G228" s="15"/>
      <c r="H228" s="15"/>
      <c r="I228" s="15">
        <f>SUM(I229:I231)</f>
        <v>1450</v>
      </c>
      <c r="J228" s="15"/>
      <c r="K228" s="15"/>
      <c r="L228" s="15">
        <f>SUM(L229:L231)</f>
        <v>2795</v>
      </c>
      <c r="M228" s="15"/>
      <c r="N228" s="15"/>
      <c r="O228" s="15">
        <f>SUM(O229:O231)</f>
        <v>1335</v>
      </c>
    </row>
    <row r="229" spans="1:15" ht="13.5" customHeight="1" x14ac:dyDescent="0.25">
      <c r="A229" s="13"/>
      <c r="B229" s="13" t="s">
        <v>9</v>
      </c>
      <c r="C229" s="13"/>
      <c r="D229" s="13"/>
      <c r="E229" s="13"/>
      <c r="F229" s="17">
        <f>VLOOKUP("MD",'[1]Raw Data'!$B$2:$O$102,3,FALSE)</f>
        <v>436</v>
      </c>
      <c r="G229" s="17"/>
      <c r="H229" s="17"/>
      <c r="I229" s="17">
        <f>VLOOKUP("MD",'[1]Raw Data'!$B$2:$O$102,4,FALSE)</f>
        <v>1008</v>
      </c>
      <c r="J229" s="17"/>
      <c r="K229" s="17"/>
      <c r="L229" s="17">
        <f>VLOOKUP("MD",'[1]Raw Data'!$B$2:$O$102,5,FALSE)</f>
        <v>1008</v>
      </c>
      <c r="M229" s="17"/>
      <c r="N229" s="17"/>
      <c r="O229" s="17">
        <f>VLOOKUP("MD",'[1]Raw Data'!$B$2:$O$102,6,FALSE)</f>
        <v>433</v>
      </c>
    </row>
    <row r="230" spans="1:15" ht="13.5" customHeight="1" x14ac:dyDescent="0.25">
      <c r="A230" s="13"/>
      <c r="B230" s="13" t="s">
        <v>10</v>
      </c>
      <c r="C230" s="13"/>
      <c r="D230" s="13"/>
      <c r="E230" s="13"/>
      <c r="F230" s="17">
        <f>VLOOKUP("MD",'[1]Raw Data'!$B$2:$O$102,7,FALSE)</f>
        <v>585</v>
      </c>
      <c r="G230" s="17"/>
      <c r="H230" s="17"/>
      <c r="I230" s="17">
        <f>VLOOKUP("MD",'[1]Raw Data'!$B$2:$O$102,8,FALSE)</f>
        <v>39</v>
      </c>
      <c r="J230" s="17"/>
      <c r="K230" s="17"/>
      <c r="L230" s="17">
        <f>VLOOKUP("MD",'[1]Raw Data'!$B$2:$O$102,9,FALSE)</f>
        <v>131</v>
      </c>
      <c r="M230" s="17"/>
      <c r="N230" s="17"/>
      <c r="O230" s="17">
        <f>VLOOKUP("MD",'[1]Raw Data'!$B$2:$O$102,10,FALSE)</f>
        <v>486</v>
      </c>
    </row>
    <row r="231" spans="1:15" ht="13.5" customHeight="1" x14ac:dyDescent="0.25">
      <c r="A231" s="13"/>
      <c r="B231" s="13" t="s">
        <v>11</v>
      </c>
      <c r="C231" s="13"/>
      <c r="D231" s="13"/>
      <c r="E231" s="13"/>
      <c r="F231" s="17">
        <f>VLOOKUP("MD",'[1]Raw Data'!$B$2:$O$102,11,FALSE)</f>
        <v>1669</v>
      </c>
      <c r="G231" s="17"/>
      <c r="H231" s="17"/>
      <c r="I231" s="17">
        <f>VLOOKUP("MD",'[1]Raw Data'!$B$2:$O$102,12,FALSE)</f>
        <v>403</v>
      </c>
      <c r="J231" s="17"/>
      <c r="K231" s="17"/>
      <c r="L231" s="17">
        <f>VLOOKUP("MD",'[1]Raw Data'!$B$2:$O$102,13,FALSE)</f>
        <v>1656</v>
      </c>
      <c r="M231" s="17"/>
      <c r="N231" s="17"/>
      <c r="O231" s="17">
        <f>VLOOKUP("MD",'[1]Raw Data'!$B$2:$O$102,14,FALSE)</f>
        <v>416</v>
      </c>
    </row>
    <row r="232" spans="1:15" ht="12" customHeight="1" x14ac:dyDescent="0.25"/>
    <row r="233" spans="1:15" ht="13.5" customHeight="1" x14ac:dyDescent="0.25">
      <c r="A233" s="13"/>
      <c r="B233" s="13"/>
      <c r="C233" s="18" t="str">
        <f>IF(VLOOKUP("ME",'[1]Raw Data'!$B$2:$O$102,2,FALSE)="CDO","ME"&amp;" "&amp;CHAR(178),"ME")</f>
        <v>ME</v>
      </c>
      <c r="D233" s="13"/>
      <c r="F233" s="15">
        <f>SUM(F234:F236)</f>
        <v>126</v>
      </c>
      <c r="G233" s="15"/>
      <c r="H233" s="15"/>
      <c r="I233" s="15">
        <f>SUM(I234:I236)</f>
        <v>110</v>
      </c>
      <c r="J233" s="15"/>
      <c r="K233" s="15"/>
      <c r="L233" s="15">
        <f>SUM(L234:L236)</f>
        <v>151</v>
      </c>
      <c r="M233" s="15"/>
      <c r="N233" s="15"/>
      <c r="O233" s="15">
        <f>SUM(O234:O236)</f>
        <v>86</v>
      </c>
    </row>
    <row r="234" spans="1:15" ht="13.5" customHeight="1" x14ac:dyDescent="0.25">
      <c r="A234" s="13"/>
      <c r="B234" s="13" t="s">
        <v>9</v>
      </c>
      <c r="C234" s="13"/>
      <c r="D234" s="13"/>
      <c r="E234" s="13"/>
      <c r="F234" s="17">
        <f>VLOOKUP("ME",'[1]Raw Data'!$B$2:$O$102,3,FALSE)</f>
        <v>32</v>
      </c>
      <c r="G234" s="17"/>
      <c r="H234" s="17"/>
      <c r="I234" s="17">
        <f>VLOOKUP("ME",'[1]Raw Data'!$B$2:$O$102,4,FALSE)</f>
        <v>48</v>
      </c>
      <c r="J234" s="17"/>
      <c r="K234" s="17"/>
      <c r="L234" s="17">
        <f>VLOOKUP("ME",'[1]Raw Data'!$B$2:$O$102,5,FALSE)</f>
        <v>46</v>
      </c>
      <c r="M234" s="17"/>
      <c r="N234" s="17"/>
      <c r="O234" s="17">
        <f>VLOOKUP("ME",'[1]Raw Data'!$B$2:$O$102,6,FALSE)</f>
        <v>34</v>
      </c>
    </row>
    <row r="235" spans="1:15" ht="13.5" customHeight="1" x14ac:dyDescent="0.25">
      <c r="A235" s="13"/>
      <c r="B235" s="13" t="s">
        <v>10</v>
      </c>
      <c r="C235" s="13"/>
      <c r="D235" s="13"/>
      <c r="E235" s="13"/>
      <c r="F235" s="17">
        <f>VLOOKUP("ME",'[1]Raw Data'!$B$2:$O$102,7,FALSE)</f>
        <v>59</v>
      </c>
      <c r="G235" s="17"/>
      <c r="H235" s="17"/>
      <c r="I235" s="17">
        <f>VLOOKUP("ME",'[1]Raw Data'!$B$2:$O$102,8,FALSE)</f>
        <v>12</v>
      </c>
      <c r="J235" s="17"/>
      <c r="K235" s="17"/>
      <c r="L235" s="17">
        <f>VLOOKUP("ME",'[1]Raw Data'!$B$2:$O$102,9,FALSE)</f>
        <v>45</v>
      </c>
      <c r="M235" s="17"/>
      <c r="N235" s="17"/>
      <c r="O235" s="17">
        <f>VLOOKUP("ME",'[1]Raw Data'!$B$2:$O$102,10,FALSE)</f>
        <v>27</v>
      </c>
    </row>
    <row r="236" spans="1:15" ht="13.5" customHeight="1" x14ac:dyDescent="0.25">
      <c r="A236" s="13"/>
      <c r="B236" s="13" t="s">
        <v>11</v>
      </c>
      <c r="C236" s="13"/>
      <c r="D236" s="13"/>
      <c r="E236" s="13"/>
      <c r="F236" s="17">
        <f>VLOOKUP("ME",'[1]Raw Data'!$B$2:$O$102,11,FALSE)</f>
        <v>35</v>
      </c>
      <c r="G236" s="17"/>
      <c r="H236" s="17"/>
      <c r="I236" s="17">
        <f>VLOOKUP("ME",'[1]Raw Data'!$B$2:$O$102,12,FALSE)</f>
        <v>50</v>
      </c>
      <c r="J236" s="17"/>
      <c r="K236" s="17"/>
      <c r="L236" s="17">
        <f>VLOOKUP("ME",'[1]Raw Data'!$B$2:$O$102,13,FALSE)</f>
        <v>60</v>
      </c>
      <c r="M236" s="17"/>
      <c r="N236" s="17"/>
      <c r="O236" s="17">
        <f>VLOOKUP("ME",'[1]Raw Data'!$B$2:$O$102,14,FALSE)</f>
        <v>25</v>
      </c>
    </row>
    <row r="237" spans="1:15" ht="12" customHeight="1" x14ac:dyDescent="0.25"/>
    <row r="238" spans="1:15" ht="13.5" customHeight="1" x14ac:dyDescent="0.25">
      <c r="A238" s="13"/>
      <c r="B238" s="13"/>
      <c r="C238" s="18" t="str">
        <f>IF(VLOOKUP("MI, E",'[1]Raw Data'!$B$2:$O$102,2,FALSE)="CDO","MI, E"&amp;" "&amp;CHAR(178),"MI, E")</f>
        <v>MI, E ²</v>
      </c>
      <c r="D238" s="13"/>
      <c r="F238" s="15">
        <f>SUM(F239:F241)</f>
        <v>714</v>
      </c>
      <c r="G238" s="15"/>
      <c r="H238" s="15"/>
      <c r="I238" s="15">
        <f>SUM(I239:I241)</f>
        <v>1179</v>
      </c>
      <c r="J238" s="15"/>
      <c r="K238" s="15"/>
      <c r="L238" s="15">
        <f>SUM(L239:L241)</f>
        <v>1254</v>
      </c>
      <c r="M238" s="15"/>
      <c r="N238" s="15"/>
      <c r="O238" s="15">
        <f>SUM(O239:O241)</f>
        <v>640</v>
      </c>
    </row>
    <row r="239" spans="1:15" ht="13.5" customHeight="1" x14ac:dyDescent="0.25">
      <c r="A239" s="13"/>
      <c r="B239" s="13" t="s">
        <v>9</v>
      </c>
      <c r="C239" s="13"/>
      <c r="D239" s="13"/>
      <c r="E239" s="13"/>
      <c r="F239" s="17">
        <f>VLOOKUP("MI, E",'[1]Raw Data'!$B$2:$O$102,3,FALSE)</f>
        <v>341</v>
      </c>
      <c r="G239" s="17"/>
      <c r="H239" s="17"/>
      <c r="I239" s="17">
        <f>VLOOKUP("MI, E",'[1]Raw Data'!$B$2:$O$102,4,FALSE)</f>
        <v>550</v>
      </c>
      <c r="J239" s="17"/>
      <c r="K239" s="17"/>
      <c r="L239" s="17">
        <f>VLOOKUP("MI, E",'[1]Raw Data'!$B$2:$O$102,5,FALSE)</f>
        <v>534</v>
      </c>
      <c r="M239" s="17"/>
      <c r="N239" s="17"/>
      <c r="O239" s="17">
        <f>VLOOKUP("MI, E",'[1]Raw Data'!$B$2:$O$102,6,FALSE)</f>
        <v>357</v>
      </c>
    </row>
    <row r="240" spans="1:15" ht="13.5" customHeight="1" x14ac:dyDescent="0.25">
      <c r="A240" s="13"/>
      <c r="B240" s="13" t="s">
        <v>10</v>
      </c>
      <c r="C240" s="13"/>
      <c r="D240" s="13"/>
      <c r="E240" s="13"/>
      <c r="F240" s="17">
        <f>VLOOKUP("MI, E",'[1]Raw Data'!$B$2:$O$102,7,FALSE)</f>
        <v>184</v>
      </c>
      <c r="G240" s="17"/>
      <c r="H240" s="17"/>
      <c r="I240" s="17">
        <f>VLOOKUP("MI, E",'[1]Raw Data'!$B$2:$O$102,8,FALSE)</f>
        <v>37</v>
      </c>
      <c r="J240" s="17"/>
      <c r="K240" s="17"/>
      <c r="L240" s="17">
        <f>VLOOKUP("MI, E",'[1]Raw Data'!$B$2:$O$102,9,FALSE)</f>
        <v>157</v>
      </c>
      <c r="M240" s="17"/>
      <c r="N240" s="17"/>
      <c r="O240" s="17">
        <f>VLOOKUP("MI, E",'[1]Raw Data'!$B$2:$O$102,10,FALSE)</f>
        <v>65</v>
      </c>
    </row>
    <row r="241" spans="1:15" ht="13.5" customHeight="1" x14ac:dyDescent="0.25">
      <c r="A241" s="13"/>
      <c r="B241" s="13" t="s">
        <v>11</v>
      </c>
      <c r="C241" s="13"/>
      <c r="D241" s="13"/>
      <c r="E241" s="13"/>
      <c r="F241" s="17">
        <f>VLOOKUP("MI, E",'[1]Raw Data'!$B$2:$O$102,11,FALSE)</f>
        <v>189</v>
      </c>
      <c r="G241" s="17"/>
      <c r="H241" s="17"/>
      <c r="I241" s="17">
        <f>VLOOKUP("MI, E",'[1]Raw Data'!$B$2:$O$102,12,FALSE)</f>
        <v>592</v>
      </c>
      <c r="J241" s="17"/>
      <c r="K241" s="17"/>
      <c r="L241" s="17">
        <f>VLOOKUP("MI, E",'[1]Raw Data'!$B$2:$O$102,13,FALSE)</f>
        <v>563</v>
      </c>
      <c r="M241" s="17"/>
      <c r="N241" s="17"/>
      <c r="O241" s="17">
        <f>VLOOKUP("MI, E",'[1]Raw Data'!$B$2:$O$102,14,FALSE)</f>
        <v>218</v>
      </c>
    </row>
    <row r="242" spans="1:15" ht="12" customHeight="1" x14ac:dyDescent="0.25"/>
    <row r="243" spans="1:15" ht="13.5" customHeight="1" x14ac:dyDescent="0.25">
      <c r="A243" s="13"/>
      <c r="B243" s="13"/>
      <c r="C243" s="18" t="str">
        <f>IF(VLOOKUP("MI, W",'[1]Raw Data'!$B$2:$O$102,2,FALSE)="CDO","MI, W"&amp;" "&amp;CHAR(178),"MI, W")</f>
        <v>MI, W</v>
      </c>
      <c r="D243" s="13"/>
      <c r="F243" s="15">
        <f>SUM(F244:F246)</f>
        <v>267</v>
      </c>
      <c r="G243" s="15"/>
      <c r="H243" s="15"/>
      <c r="I243" s="15">
        <f>SUM(I244:I246)</f>
        <v>355</v>
      </c>
      <c r="J243" s="15"/>
      <c r="K243" s="15"/>
      <c r="L243" s="15">
        <f>SUM(L244:L246)</f>
        <v>436</v>
      </c>
      <c r="M243" s="15"/>
      <c r="N243" s="15"/>
      <c r="O243" s="15">
        <f>SUM(O244:O246)</f>
        <v>186</v>
      </c>
    </row>
    <row r="244" spans="1:15" ht="13.5" customHeight="1" x14ac:dyDescent="0.25">
      <c r="A244" s="13"/>
      <c r="B244" s="13" t="s">
        <v>9</v>
      </c>
      <c r="C244" s="13"/>
      <c r="D244" s="13"/>
      <c r="E244" s="13"/>
      <c r="F244" s="17">
        <f>VLOOKUP("MI, W",'[1]Raw Data'!$B$2:$O$102,3,FALSE)</f>
        <v>96</v>
      </c>
      <c r="G244" s="17"/>
      <c r="H244" s="17"/>
      <c r="I244" s="17">
        <f>VLOOKUP("MI, W",'[1]Raw Data'!$B$2:$O$102,4,FALSE)</f>
        <v>195</v>
      </c>
      <c r="J244" s="17"/>
      <c r="K244" s="17"/>
      <c r="L244" s="17">
        <f>VLOOKUP("MI, W",'[1]Raw Data'!$B$2:$O$102,5,FALSE)</f>
        <v>200</v>
      </c>
      <c r="M244" s="17"/>
      <c r="N244" s="17"/>
      <c r="O244" s="17">
        <f>VLOOKUP("MI, W",'[1]Raw Data'!$B$2:$O$102,6,FALSE)</f>
        <v>91</v>
      </c>
    </row>
    <row r="245" spans="1:15" ht="13.5" customHeight="1" x14ac:dyDescent="0.25">
      <c r="A245" s="13"/>
      <c r="B245" s="13" t="s">
        <v>10</v>
      </c>
      <c r="C245" s="13"/>
      <c r="D245" s="13"/>
      <c r="E245" s="13"/>
      <c r="F245" s="17">
        <f>VLOOKUP("MI, W",'[1]Raw Data'!$B$2:$O$102,7,FALSE)</f>
        <v>87</v>
      </c>
      <c r="G245" s="17"/>
      <c r="H245" s="17"/>
      <c r="I245" s="17">
        <f>VLOOKUP("MI, W",'[1]Raw Data'!$B$2:$O$102,8,FALSE)</f>
        <v>82</v>
      </c>
      <c r="J245" s="17"/>
      <c r="K245" s="17"/>
      <c r="L245" s="17">
        <f>VLOOKUP("MI, W",'[1]Raw Data'!$B$2:$O$102,9,FALSE)</f>
        <v>112</v>
      </c>
      <c r="M245" s="17"/>
      <c r="N245" s="17"/>
      <c r="O245" s="17">
        <f>VLOOKUP("MI, W",'[1]Raw Data'!$B$2:$O$102,10,FALSE)</f>
        <v>58</v>
      </c>
    </row>
    <row r="246" spans="1:15" ht="13.5" customHeight="1" x14ac:dyDescent="0.25">
      <c r="A246" s="13"/>
      <c r="B246" s="13" t="s">
        <v>11</v>
      </c>
      <c r="C246" s="13"/>
      <c r="D246" s="13"/>
      <c r="E246" s="13"/>
      <c r="F246" s="17">
        <f>VLOOKUP("MI, W",'[1]Raw Data'!$B$2:$O$102,11,FALSE)</f>
        <v>84</v>
      </c>
      <c r="G246" s="17"/>
      <c r="H246" s="17"/>
      <c r="I246" s="17">
        <f>VLOOKUP("MI, W",'[1]Raw Data'!$B$2:$O$102,12,FALSE)</f>
        <v>78</v>
      </c>
      <c r="J246" s="17"/>
      <c r="K246" s="17"/>
      <c r="L246" s="17">
        <f>VLOOKUP("MI, W",'[1]Raw Data'!$B$2:$O$102,13,FALSE)</f>
        <v>124</v>
      </c>
      <c r="M246" s="17"/>
      <c r="N246" s="17"/>
      <c r="O246" s="17">
        <f>VLOOKUP("MI, W",'[1]Raw Data'!$B$2:$O$102,14,FALSE)</f>
        <v>37</v>
      </c>
    </row>
    <row r="247" spans="1:15" ht="12" customHeight="1" x14ac:dyDescent="0.25"/>
    <row r="248" spans="1:15" ht="13.5" customHeight="1" x14ac:dyDescent="0.25">
      <c r="A248" s="13"/>
      <c r="B248" s="13"/>
      <c r="C248" s="18" t="str">
        <f>IF(VLOOKUP("MN",'[1]Raw Data'!$B$2:$O$102,2,FALSE)="CDO","MN"&amp;" "&amp;CHAR(178),"MN")</f>
        <v>MN</v>
      </c>
      <c r="D248" s="13"/>
      <c r="F248" s="15">
        <f>SUM(F249:F251)</f>
        <v>481</v>
      </c>
      <c r="G248" s="15"/>
      <c r="H248" s="15"/>
      <c r="I248" s="15">
        <f>SUM(I249:I251)</f>
        <v>848</v>
      </c>
      <c r="J248" s="15"/>
      <c r="K248" s="15"/>
      <c r="L248" s="15">
        <f>SUM(L249:L251)</f>
        <v>925</v>
      </c>
      <c r="M248" s="15"/>
      <c r="N248" s="15"/>
      <c r="O248" s="15">
        <f>SUM(O249:O251)</f>
        <v>404</v>
      </c>
    </row>
    <row r="249" spans="1:15" ht="13.5" customHeight="1" x14ac:dyDescent="0.25">
      <c r="A249" s="13"/>
      <c r="B249" s="13" t="s">
        <v>9</v>
      </c>
      <c r="C249" s="13"/>
      <c r="D249" s="13"/>
      <c r="E249" s="13"/>
      <c r="F249" s="17">
        <f>VLOOKUP("MN",'[1]Raw Data'!$B$2:$O$102,3,FALSE)</f>
        <v>148</v>
      </c>
      <c r="G249" s="17"/>
      <c r="H249" s="17"/>
      <c r="I249" s="17">
        <f>VLOOKUP("MN",'[1]Raw Data'!$B$2:$O$102,4,FALSE)</f>
        <v>184</v>
      </c>
      <c r="J249" s="17"/>
      <c r="K249" s="17"/>
      <c r="L249" s="17">
        <f>VLOOKUP("MN",'[1]Raw Data'!$B$2:$O$102,5,FALSE)</f>
        <v>202</v>
      </c>
      <c r="M249" s="17"/>
      <c r="N249" s="17"/>
      <c r="O249" s="17">
        <f>VLOOKUP("MN",'[1]Raw Data'!$B$2:$O$102,6,FALSE)</f>
        <v>130</v>
      </c>
    </row>
    <row r="250" spans="1:15" ht="13.5" customHeight="1" x14ac:dyDescent="0.25">
      <c r="A250" s="13"/>
      <c r="B250" s="13" t="s">
        <v>10</v>
      </c>
      <c r="C250" s="13"/>
      <c r="D250" s="13"/>
      <c r="E250" s="13"/>
      <c r="F250" s="17">
        <f>VLOOKUP("MN",'[1]Raw Data'!$B$2:$O$102,7,FALSE)</f>
        <v>113</v>
      </c>
      <c r="G250" s="17"/>
      <c r="H250" s="17"/>
      <c r="I250" s="17">
        <f>VLOOKUP("MN",'[1]Raw Data'!$B$2:$O$102,8,FALSE)</f>
        <v>70</v>
      </c>
      <c r="J250" s="17"/>
      <c r="K250" s="17"/>
      <c r="L250" s="17">
        <f>VLOOKUP("MN",'[1]Raw Data'!$B$2:$O$102,9,FALSE)</f>
        <v>52</v>
      </c>
      <c r="M250" s="17"/>
      <c r="N250" s="17"/>
      <c r="O250" s="17">
        <f>VLOOKUP("MN",'[1]Raw Data'!$B$2:$O$102,10,FALSE)</f>
        <v>131</v>
      </c>
    </row>
    <row r="251" spans="1:15" ht="13.5" customHeight="1" x14ac:dyDescent="0.25">
      <c r="A251" s="13"/>
      <c r="B251" s="13" t="s">
        <v>11</v>
      </c>
      <c r="C251" s="13"/>
      <c r="D251" s="13"/>
      <c r="E251" s="13"/>
      <c r="F251" s="17">
        <f>VLOOKUP("MN",'[1]Raw Data'!$B$2:$O$102,11,FALSE)</f>
        <v>220</v>
      </c>
      <c r="G251" s="17"/>
      <c r="H251" s="17"/>
      <c r="I251" s="17">
        <f>VLOOKUP("MN",'[1]Raw Data'!$B$2:$O$102,12,FALSE)</f>
        <v>594</v>
      </c>
      <c r="J251" s="17"/>
      <c r="K251" s="17"/>
      <c r="L251" s="17">
        <f>VLOOKUP("MN",'[1]Raw Data'!$B$2:$O$102,13,FALSE)</f>
        <v>671</v>
      </c>
      <c r="M251" s="17"/>
      <c r="N251" s="17"/>
      <c r="O251" s="17">
        <f>VLOOKUP("MN",'[1]Raw Data'!$B$2:$O$102,14,FALSE)</f>
        <v>143</v>
      </c>
    </row>
    <row r="252" spans="1:15" ht="12" customHeight="1" x14ac:dyDescent="0.25"/>
    <row r="253" spans="1:15" ht="13.5" customHeight="1" x14ac:dyDescent="0.25">
      <c r="A253" s="13"/>
      <c r="B253" s="13"/>
      <c r="C253" s="18" t="str">
        <f>IF(VLOOKUP("MO, E",'[1]Raw Data'!$B$2:$O$102,2,FALSE)="CDO","MO, E"&amp;" "&amp;CHAR(178),"MO, E")</f>
        <v>MO, E</v>
      </c>
      <c r="D253" s="13"/>
      <c r="F253" s="15">
        <f>SUM(F254:F256)</f>
        <v>1675</v>
      </c>
      <c r="G253" s="15"/>
      <c r="H253" s="15"/>
      <c r="I253" s="15">
        <f>SUM(I254:I256)</f>
        <v>2045</v>
      </c>
      <c r="J253" s="15"/>
      <c r="K253" s="15"/>
      <c r="L253" s="15">
        <f>SUM(L254:L256)</f>
        <v>2383</v>
      </c>
      <c r="M253" s="15"/>
      <c r="N253" s="15"/>
      <c r="O253" s="15">
        <f>SUM(O254:O256)</f>
        <v>1336</v>
      </c>
    </row>
    <row r="254" spans="1:15" ht="13.5" customHeight="1" x14ac:dyDescent="0.25">
      <c r="A254" s="13"/>
      <c r="B254" s="13" t="s">
        <v>9</v>
      </c>
      <c r="C254" s="13"/>
      <c r="D254" s="13"/>
      <c r="E254" s="13"/>
      <c r="F254" s="17">
        <f>VLOOKUP("MO, E",'[1]Raw Data'!$B$2:$O$102,3,FALSE)</f>
        <v>590</v>
      </c>
      <c r="G254" s="17"/>
      <c r="H254" s="17"/>
      <c r="I254" s="17">
        <f>VLOOKUP("MO, E",'[1]Raw Data'!$B$2:$O$102,4,FALSE)</f>
        <v>555</v>
      </c>
      <c r="J254" s="17"/>
      <c r="K254" s="17"/>
      <c r="L254" s="17">
        <f>VLOOKUP("MO, E",'[1]Raw Data'!$B$2:$O$102,5,FALSE)</f>
        <v>507</v>
      </c>
      <c r="M254" s="17"/>
      <c r="N254" s="17"/>
      <c r="O254" s="17">
        <f>VLOOKUP("MO, E",'[1]Raw Data'!$B$2:$O$102,6,FALSE)</f>
        <v>636</v>
      </c>
    </row>
    <row r="255" spans="1:15" ht="13.5" customHeight="1" x14ac:dyDescent="0.25">
      <c r="A255" s="13"/>
      <c r="B255" s="13" t="s">
        <v>10</v>
      </c>
      <c r="C255" s="13"/>
      <c r="D255" s="13"/>
      <c r="E255" s="13"/>
      <c r="F255" s="17">
        <f>VLOOKUP("MO, E",'[1]Raw Data'!$B$2:$O$102,7,FALSE)</f>
        <v>234</v>
      </c>
      <c r="G255" s="17"/>
      <c r="H255" s="17"/>
      <c r="I255" s="17">
        <f>VLOOKUP("MO, E",'[1]Raw Data'!$B$2:$O$102,8,FALSE)</f>
        <v>106</v>
      </c>
      <c r="J255" s="17"/>
      <c r="K255" s="17"/>
      <c r="L255" s="17">
        <f>VLOOKUP("MO, E",'[1]Raw Data'!$B$2:$O$102,9,FALSE)</f>
        <v>138</v>
      </c>
      <c r="M255" s="17"/>
      <c r="N255" s="17"/>
      <c r="O255" s="17">
        <f>VLOOKUP("MO, E",'[1]Raw Data'!$B$2:$O$102,10,FALSE)</f>
        <v>202</v>
      </c>
    </row>
    <row r="256" spans="1:15" ht="13.5" customHeight="1" x14ac:dyDescent="0.25">
      <c r="A256" s="13"/>
      <c r="B256" s="13" t="s">
        <v>11</v>
      </c>
      <c r="C256" s="13"/>
      <c r="D256" s="13"/>
      <c r="E256" s="13"/>
      <c r="F256" s="17">
        <f>VLOOKUP("MO, E",'[1]Raw Data'!$B$2:$O$102,11,FALSE)</f>
        <v>851</v>
      </c>
      <c r="G256" s="17"/>
      <c r="H256" s="17"/>
      <c r="I256" s="17">
        <f>VLOOKUP("MO, E",'[1]Raw Data'!$B$2:$O$102,12,FALSE)</f>
        <v>1384</v>
      </c>
      <c r="J256" s="17"/>
      <c r="K256" s="17"/>
      <c r="L256" s="17">
        <f>VLOOKUP("MO, E",'[1]Raw Data'!$B$2:$O$102,13,FALSE)</f>
        <v>1738</v>
      </c>
      <c r="M256" s="17"/>
      <c r="N256" s="17"/>
      <c r="O256" s="17">
        <f>VLOOKUP("MO, E",'[1]Raw Data'!$B$2:$O$102,14,FALSE)</f>
        <v>498</v>
      </c>
    </row>
    <row r="257" spans="1:15" ht="12" customHeight="1" x14ac:dyDescent="0.25"/>
    <row r="258" spans="1:15" ht="13.5" customHeight="1" x14ac:dyDescent="0.25">
      <c r="A258" s="13"/>
      <c r="B258" s="13"/>
      <c r="C258" s="18" t="str">
        <f>IF(VLOOKUP("MO, W",'[1]Raw Data'!$B$2:$O$102,2,FALSE)="CDO","MO, W"&amp;" "&amp;CHAR(178),"MO, W")</f>
        <v>MO, W</v>
      </c>
      <c r="D258" s="13"/>
      <c r="F258" s="15">
        <f>SUM(F259:F261)</f>
        <v>1920</v>
      </c>
      <c r="G258" s="15"/>
      <c r="H258" s="15"/>
      <c r="I258" s="15">
        <f>SUM(I259:I261)</f>
        <v>1132</v>
      </c>
      <c r="J258" s="15"/>
      <c r="K258" s="15"/>
      <c r="L258" s="15">
        <f>SUM(L259:L261)</f>
        <v>1947</v>
      </c>
      <c r="M258" s="15"/>
      <c r="N258" s="15"/>
      <c r="O258" s="15">
        <f>SUM(O259:O261)</f>
        <v>1098</v>
      </c>
    </row>
    <row r="259" spans="1:15" ht="13.5" customHeight="1" x14ac:dyDescent="0.25">
      <c r="A259" s="13"/>
      <c r="B259" s="13" t="s">
        <v>9</v>
      </c>
      <c r="C259" s="13"/>
      <c r="D259" s="13"/>
      <c r="E259" s="13"/>
      <c r="F259" s="17">
        <f>VLOOKUP("MO, W",'[1]Raw Data'!$B$2:$O$102,3,FALSE)</f>
        <v>464</v>
      </c>
      <c r="G259" s="17"/>
      <c r="H259" s="17"/>
      <c r="I259" s="17">
        <f>VLOOKUP("MO, W",'[1]Raw Data'!$B$2:$O$102,4,FALSE)</f>
        <v>525</v>
      </c>
      <c r="J259" s="17"/>
      <c r="K259" s="17"/>
      <c r="L259" s="17">
        <f>VLOOKUP("MO, W",'[1]Raw Data'!$B$2:$O$102,5,FALSE)</f>
        <v>476</v>
      </c>
      <c r="M259" s="17"/>
      <c r="N259" s="17"/>
      <c r="O259" s="17">
        <f>VLOOKUP("MO, W",'[1]Raw Data'!$B$2:$O$102,6,FALSE)</f>
        <v>516</v>
      </c>
    </row>
    <row r="260" spans="1:15" ht="13.5" customHeight="1" x14ac:dyDescent="0.25">
      <c r="A260" s="13"/>
      <c r="B260" s="13" t="s">
        <v>10</v>
      </c>
      <c r="C260" s="13"/>
      <c r="D260" s="13"/>
      <c r="E260" s="13"/>
      <c r="F260" s="17">
        <f>VLOOKUP("MO, W",'[1]Raw Data'!$B$2:$O$102,7,FALSE)</f>
        <v>248</v>
      </c>
      <c r="G260" s="17"/>
      <c r="H260" s="17"/>
      <c r="I260" s="17">
        <f>VLOOKUP("MO, W",'[1]Raw Data'!$B$2:$O$102,8,FALSE)</f>
        <v>110</v>
      </c>
      <c r="J260" s="17"/>
      <c r="K260" s="17"/>
      <c r="L260" s="17">
        <f>VLOOKUP("MO, W",'[1]Raw Data'!$B$2:$O$102,9,FALSE)</f>
        <v>183</v>
      </c>
      <c r="M260" s="17"/>
      <c r="N260" s="17"/>
      <c r="O260" s="17">
        <f>VLOOKUP("MO, W",'[1]Raw Data'!$B$2:$O$102,10,FALSE)</f>
        <v>174</v>
      </c>
    </row>
    <row r="261" spans="1:15" ht="13.5" customHeight="1" x14ac:dyDescent="0.25">
      <c r="A261" s="13"/>
      <c r="B261" s="13" t="s">
        <v>11</v>
      </c>
      <c r="C261" s="13"/>
      <c r="D261" s="13"/>
      <c r="E261" s="13"/>
      <c r="F261" s="17">
        <f>VLOOKUP("MO, W",'[1]Raw Data'!$B$2:$O$102,11,FALSE)</f>
        <v>1208</v>
      </c>
      <c r="G261" s="17"/>
      <c r="H261" s="17"/>
      <c r="I261" s="17">
        <f>VLOOKUP("MO, W",'[1]Raw Data'!$B$2:$O$102,12,FALSE)</f>
        <v>497</v>
      </c>
      <c r="J261" s="17"/>
      <c r="K261" s="17"/>
      <c r="L261" s="17">
        <f>VLOOKUP("MO, W",'[1]Raw Data'!$B$2:$O$102,13,FALSE)</f>
        <v>1288</v>
      </c>
      <c r="M261" s="17"/>
      <c r="N261" s="17"/>
      <c r="O261" s="17">
        <f>VLOOKUP("MO, W",'[1]Raw Data'!$B$2:$O$102,14,FALSE)</f>
        <v>408</v>
      </c>
    </row>
    <row r="262" spans="1:15" ht="12" customHeight="1" x14ac:dyDescent="0.25"/>
    <row r="263" spans="1:15" ht="13.5" customHeight="1" x14ac:dyDescent="0.25">
      <c r="A263" s="13"/>
      <c r="B263" s="13"/>
      <c r="C263" s="18" t="str">
        <f>IF(VLOOKUP("TOT: MS, N/S",'[1]Raw Data'!$B$2:$O$102,2,FALSE)="CDO","TOT: MS, N/S"&amp;" "&amp;CHAR(178),"TOT: MS, N/S")</f>
        <v>TOT: MS, N/S</v>
      </c>
      <c r="D263" s="13"/>
      <c r="F263" s="15">
        <f>IF(SUM(F264:F266)-SUM(F268,F273)=0,SUM(F264:F266),999999999)</f>
        <v>381</v>
      </c>
      <c r="G263" s="15"/>
      <c r="H263" s="15"/>
      <c r="I263" s="15">
        <f>IF(SUM(I264:I266)-SUM(I268,I273)=0,SUM(I264:I266),999999999)</f>
        <v>790</v>
      </c>
      <c r="J263" s="15"/>
      <c r="K263" s="15"/>
      <c r="L263" s="15">
        <f>IF(SUM(L264:L266)-SUM(L268,L273)=0,SUM(L264:L266),999999999)</f>
        <v>832</v>
      </c>
      <c r="M263" s="15"/>
      <c r="N263" s="15"/>
      <c r="O263" s="15">
        <f>IF(SUM(O264:O266)-SUM(O268,O273)=0,SUM(O264:O266),999999999)</f>
        <v>339</v>
      </c>
    </row>
    <row r="264" spans="1:15" ht="13.5" customHeight="1" x14ac:dyDescent="0.25">
      <c r="A264" s="13"/>
      <c r="B264" s="13" t="s">
        <v>9</v>
      </c>
      <c r="C264" s="13"/>
      <c r="D264" s="13"/>
      <c r="E264" s="13"/>
      <c r="F264" s="17">
        <f>VLOOKUP("TOT: MS, N/S",'[1]Raw Data'!$B$2:$O$102,3,FALSE)</f>
        <v>147</v>
      </c>
      <c r="G264" s="17"/>
      <c r="H264" s="17"/>
      <c r="I264" s="17">
        <f>VLOOKUP("TOT: MS, N/S",'[1]Raw Data'!$B$2:$O$102,4,FALSE)</f>
        <v>325</v>
      </c>
      <c r="J264" s="17"/>
      <c r="K264" s="17"/>
      <c r="L264" s="17">
        <f>VLOOKUP("TOT: MS, N/S",'[1]Raw Data'!$B$2:$O$102,5,FALSE)</f>
        <v>293</v>
      </c>
      <c r="M264" s="17"/>
      <c r="N264" s="17"/>
      <c r="O264" s="17">
        <f>VLOOKUP("TOT: MS, N/S",'[1]Raw Data'!$B$2:$O$102,6,FALSE)</f>
        <v>179</v>
      </c>
    </row>
    <row r="265" spans="1:15" ht="13.5" customHeight="1" x14ac:dyDescent="0.25">
      <c r="A265" s="13"/>
      <c r="B265" s="13" t="s">
        <v>10</v>
      </c>
      <c r="C265" s="13"/>
      <c r="D265" s="13"/>
      <c r="E265" s="13"/>
      <c r="F265" s="17">
        <f>VLOOKUP("TOT: MS, N/S",'[1]Raw Data'!$B$2:$O$102,7,FALSE)</f>
        <v>137</v>
      </c>
      <c r="G265" s="17"/>
      <c r="H265" s="17"/>
      <c r="I265" s="17">
        <f>VLOOKUP("TOT: MS, N/S",'[1]Raw Data'!$B$2:$O$102,8,FALSE)</f>
        <v>59</v>
      </c>
      <c r="J265" s="17"/>
      <c r="K265" s="17"/>
      <c r="L265" s="17">
        <f>VLOOKUP("TOT: MS, N/S",'[1]Raw Data'!$B$2:$O$102,9,FALSE)</f>
        <v>100</v>
      </c>
      <c r="M265" s="17"/>
      <c r="N265" s="17"/>
      <c r="O265" s="17">
        <f>VLOOKUP("TOT: MS, N/S",'[1]Raw Data'!$B$2:$O$102,10,FALSE)</f>
        <v>96</v>
      </c>
    </row>
    <row r="266" spans="1:15" ht="13.5" customHeight="1" x14ac:dyDescent="0.25">
      <c r="A266" s="13"/>
      <c r="B266" s="13" t="s">
        <v>11</v>
      </c>
      <c r="C266" s="13"/>
      <c r="D266" s="13"/>
      <c r="E266" s="13"/>
      <c r="F266" s="17">
        <f>VLOOKUP("TOT: MS, N/S",'[1]Raw Data'!$B$2:$O$102,11,FALSE)</f>
        <v>97</v>
      </c>
      <c r="G266" s="17"/>
      <c r="H266" s="17"/>
      <c r="I266" s="17">
        <f>VLOOKUP("TOT: MS, N/S",'[1]Raw Data'!$B$2:$O$102,12,FALSE)</f>
        <v>406</v>
      </c>
      <c r="J266" s="17"/>
      <c r="K266" s="17"/>
      <c r="L266" s="17">
        <f>VLOOKUP("TOT: MS, N/S",'[1]Raw Data'!$B$2:$O$102,13,FALSE)</f>
        <v>439</v>
      </c>
      <c r="M266" s="17"/>
      <c r="N266" s="17"/>
      <c r="O266" s="17">
        <f>VLOOKUP("TOT: MS, N/S",'[1]Raw Data'!$B$2:$O$102,14,FALSE)</f>
        <v>64</v>
      </c>
    </row>
    <row r="267" spans="1:15" ht="12" customHeight="1" x14ac:dyDescent="0.25"/>
    <row r="268" spans="1:15" ht="13.5" customHeight="1" x14ac:dyDescent="0.25">
      <c r="A268" s="13"/>
      <c r="B268" s="13"/>
      <c r="C268" s="18" t="str">
        <f>IF(VLOOKUP("   MS, N",'[1]Raw Data'!$B$2:$O$102,2,FALSE)="CDO","MS, N"&amp;" "&amp;CHAR(178),"MS, N")</f>
        <v>MS, N</v>
      </c>
      <c r="D268" s="13"/>
      <c r="F268" s="15">
        <f>SUM(F269:F271)</f>
        <v>149</v>
      </c>
      <c r="G268" s="15"/>
      <c r="H268" s="15"/>
      <c r="I268" s="15">
        <f>SUM(I269:I271)</f>
        <v>283</v>
      </c>
      <c r="J268" s="15"/>
      <c r="K268" s="15"/>
      <c r="L268" s="15">
        <f>SUM(L269:L271)</f>
        <v>279</v>
      </c>
      <c r="M268" s="15"/>
      <c r="N268" s="15"/>
      <c r="O268" s="15">
        <f>SUM(O269:O271)</f>
        <v>153</v>
      </c>
    </row>
    <row r="269" spans="1:15" ht="13.5" customHeight="1" x14ac:dyDescent="0.25">
      <c r="A269" s="13"/>
      <c r="B269" s="13" t="s">
        <v>9</v>
      </c>
      <c r="C269" s="13"/>
      <c r="D269" s="13"/>
      <c r="E269" s="13"/>
      <c r="F269" s="17">
        <f>VLOOKUP("   MS, N",'[1]Raw Data'!$B$2:$O$102,3,FALSE)</f>
        <v>70</v>
      </c>
      <c r="G269" s="17"/>
      <c r="H269" s="17"/>
      <c r="I269" s="17">
        <f>VLOOKUP("   MS, N",'[1]Raw Data'!$B$2:$O$102,4,FALSE)</f>
        <v>117</v>
      </c>
      <c r="J269" s="17"/>
      <c r="K269" s="17"/>
      <c r="L269" s="17">
        <f>VLOOKUP("   MS, N",'[1]Raw Data'!$B$2:$O$102,5,FALSE)</f>
        <v>106</v>
      </c>
      <c r="M269" s="17"/>
      <c r="N269" s="17"/>
      <c r="O269" s="17">
        <f>VLOOKUP("   MS, N",'[1]Raw Data'!$B$2:$O$102,6,FALSE)</f>
        <v>81</v>
      </c>
    </row>
    <row r="270" spans="1:15" ht="13.5" customHeight="1" x14ac:dyDescent="0.25">
      <c r="A270" s="13"/>
      <c r="B270" s="13" t="s">
        <v>10</v>
      </c>
      <c r="C270" s="13"/>
      <c r="D270" s="13"/>
      <c r="E270" s="13"/>
      <c r="F270" s="17">
        <f>VLOOKUP("   MS, N",'[1]Raw Data'!$B$2:$O$102,7,FALSE)</f>
        <v>55</v>
      </c>
      <c r="G270" s="17"/>
      <c r="H270" s="17"/>
      <c r="I270" s="17">
        <f>VLOOKUP("   MS, N",'[1]Raw Data'!$B$2:$O$102,8,FALSE)</f>
        <v>13</v>
      </c>
      <c r="J270" s="17"/>
      <c r="K270" s="17"/>
      <c r="L270" s="17">
        <f>VLOOKUP("   MS, N",'[1]Raw Data'!$B$2:$O$102,9,FALSE)</f>
        <v>18</v>
      </c>
      <c r="M270" s="17"/>
      <c r="N270" s="17"/>
      <c r="O270" s="17">
        <f>VLOOKUP("   MS, N",'[1]Raw Data'!$B$2:$O$102,10,FALSE)</f>
        <v>50</v>
      </c>
    </row>
    <row r="271" spans="1:15" ht="13.5" customHeight="1" x14ac:dyDescent="0.25">
      <c r="A271" s="13"/>
      <c r="B271" s="13" t="s">
        <v>11</v>
      </c>
      <c r="C271" s="13"/>
      <c r="D271" s="13"/>
      <c r="E271" s="13"/>
      <c r="F271" s="17">
        <f>VLOOKUP("   MS, N",'[1]Raw Data'!$B$2:$O$102,11,FALSE)</f>
        <v>24</v>
      </c>
      <c r="G271" s="17"/>
      <c r="H271" s="17"/>
      <c r="I271" s="17">
        <f>VLOOKUP("   MS, N",'[1]Raw Data'!$B$2:$O$102,12,FALSE)</f>
        <v>153</v>
      </c>
      <c r="J271" s="17"/>
      <c r="K271" s="17"/>
      <c r="L271" s="17">
        <f>VLOOKUP("   MS, N",'[1]Raw Data'!$B$2:$O$102,13,FALSE)</f>
        <v>155</v>
      </c>
      <c r="M271" s="17"/>
      <c r="N271" s="17"/>
      <c r="O271" s="17">
        <f>VLOOKUP("   MS, N",'[1]Raw Data'!$B$2:$O$102,14,FALSE)</f>
        <v>22</v>
      </c>
    </row>
    <row r="272" spans="1:15" ht="12" customHeight="1" x14ac:dyDescent="0.25"/>
    <row r="273" spans="1:15" ht="13.5" customHeight="1" x14ac:dyDescent="0.25">
      <c r="A273" s="13"/>
      <c r="B273" s="13"/>
      <c r="C273" s="18" t="str">
        <f>IF(VLOOKUP("   MS, S",'[1]Raw Data'!$B$2:$O$102,2,FALSE)="CDO","MS, S"&amp;" "&amp;CHAR(178),"MS, S")</f>
        <v>MS, S</v>
      </c>
      <c r="D273" s="13"/>
      <c r="F273" s="15">
        <f>SUM(F274:F276)</f>
        <v>232</v>
      </c>
      <c r="G273" s="15"/>
      <c r="H273" s="15"/>
      <c r="I273" s="15">
        <f>SUM(I274:I276)</f>
        <v>507</v>
      </c>
      <c r="J273" s="15"/>
      <c r="K273" s="15"/>
      <c r="L273" s="15">
        <f>SUM(L274:L276)</f>
        <v>553</v>
      </c>
      <c r="M273" s="15"/>
      <c r="N273" s="15"/>
      <c r="O273" s="15">
        <f>SUM(O274:O276)</f>
        <v>186</v>
      </c>
    </row>
    <row r="274" spans="1:15" ht="13.5" customHeight="1" x14ac:dyDescent="0.25">
      <c r="A274" s="13"/>
      <c r="B274" s="13" t="s">
        <v>9</v>
      </c>
      <c r="C274" s="13"/>
      <c r="D274" s="13"/>
      <c r="E274" s="13"/>
      <c r="F274" s="17">
        <f>VLOOKUP("   MS, S",'[1]Raw Data'!$B$2:$O$102,3,FALSE)</f>
        <v>77</v>
      </c>
      <c r="G274" s="17"/>
      <c r="H274" s="17"/>
      <c r="I274" s="17">
        <f>VLOOKUP("   MS, S",'[1]Raw Data'!$B$2:$O$102,4,FALSE)</f>
        <v>208</v>
      </c>
      <c r="J274" s="17"/>
      <c r="K274" s="17"/>
      <c r="L274" s="17">
        <f>VLOOKUP("   MS, S",'[1]Raw Data'!$B$2:$O$102,5,FALSE)</f>
        <v>187</v>
      </c>
      <c r="M274" s="17"/>
      <c r="N274" s="17"/>
      <c r="O274" s="17">
        <f>VLOOKUP("   MS, S",'[1]Raw Data'!$B$2:$O$102,6,FALSE)</f>
        <v>98</v>
      </c>
    </row>
    <row r="275" spans="1:15" ht="13.5" customHeight="1" x14ac:dyDescent="0.25">
      <c r="A275" s="13"/>
      <c r="B275" s="13" t="s">
        <v>10</v>
      </c>
      <c r="C275" s="13"/>
      <c r="D275" s="13"/>
      <c r="E275" s="13"/>
      <c r="F275" s="17">
        <f>VLOOKUP("   MS, S",'[1]Raw Data'!$B$2:$O$102,7,FALSE)</f>
        <v>82</v>
      </c>
      <c r="G275" s="17"/>
      <c r="H275" s="17"/>
      <c r="I275" s="17">
        <f>VLOOKUP("   MS, S",'[1]Raw Data'!$B$2:$O$102,8,FALSE)</f>
        <v>46</v>
      </c>
      <c r="J275" s="17"/>
      <c r="K275" s="17"/>
      <c r="L275" s="17">
        <f>VLOOKUP("   MS, S",'[1]Raw Data'!$B$2:$O$102,9,FALSE)</f>
        <v>82</v>
      </c>
      <c r="M275" s="17"/>
      <c r="N275" s="17"/>
      <c r="O275" s="17">
        <f>VLOOKUP("   MS, S",'[1]Raw Data'!$B$2:$O$102,10,FALSE)</f>
        <v>46</v>
      </c>
    </row>
    <row r="276" spans="1:15" ht="13.5" customHeight="1" x14ac:dyDescent="0.25">
      <c r="A276" s="13"/>
      <c r="B276" s="13" t="s">
        <v>11</v>
      </c>
      <c r="C276" s="13"/>
      <c r="D276" s="13"/>
      <c r="E276" s="13"/>
      <c r="F276" s="17">
        <f>VLOOKUP("   MS, S",'[1]Raw Data'!$B$2:$O$102,11,FALSE)</f>
        <v>73</v>
      </c>
      <c r="G276" s="17"/>
      <c r="H276" s="17"/>
      <c r="I276" s="17">
        <f>VLOOKUP("   MS, S",'[1]Raw Data'!$B$2:$O$102,12,FALSE)</f>
        <v>253</v>
      </c>
      <c r="J276" s="17"/>
      <c r="K276" s="17"/>
      <c r="L276" s="17">
        <f>VLOOKUP("   MS, S",'[1]Raw Data'!$B$2:$O$102,13,FALSE)</f>
        <v>284</v>
      </c>
      <c r="M276" s="17"/>
      <c r="N276" s="17"/>
      <c r="O276" s="17">
        <f>VLOOKUP("   MS, S",'[1]Raw Data'!$B$2:$O$102,14,FALSE)</f>
        <v>42</v>
      </c>
    </row>
    <row r="277" spans="1:15" ht="12" customHeight="1" x14ac:dyDescent="0.25"/>
    <row r="278" spans="1:15" ht="13.5" customHeight="1" x14ac:dyDescent="0.25">
      <c r="A278" s="13"/>
      <c r="B278" s="13"/>
      <c r="C278" s="18" t="str">
        <f>IF(VLOOKUP("MT",'[1]Raw Data'!$B$2:$O$102,2,FALSE)="CDO","MT"&amp;" "&amp;CHAR(178),"MT")</f>
        <v>MT ²</v>
      </c>
      <c r="D278" s="13"/>
      <c r="F278" s="15">
        <f>SUM(F279:F281)</f>
        <v>295</v>
      </c>
      <c r="G278" s="15"/>
      <c r="H278" s="15"/>
      <c r="I278" s="15">
        <f>SUM(I279:I281)</f>
        <v>782</v>
      </c>
      <c r="J278" s="15"/>
      <c r="K278" s="15"/>
      <c r="L278" s="15">
        <f>SUM(L279:L281)</f>
        <v>794</v>
      </c>
      <c r="M278" s="15"/>
      <c r="N278" s="15"/>
      <c r="O278" s="15">
        <f>SUM(O279:O281)</f>
        <v>284</v>
      </c>
    </row>
    <row r="279" spans="1:15" ht="13.5" customHeight="1" x14ac:dyDescent="0.25">
      <c r="A279" s="13"/>
      <c r="B279" s="13" t="s">
        <v>9</v>
      </c>
      <c r="C279" s="13"/>
      <c r="D279" s="13"/>
      <c r="E279" s="13"/>
      <c r="F279" s="17">
        <f>VLOOKUP("MT",'[1]Raw Data'!$B$2:$O$102,3,FALSE)</f>
        <v>103</v>
      </c>
      <c r="G279" s="17"/>
      <c r="H279" s="17"/>
      <c r="I279" s="17">
        <f>VLOOKUP("MT",'[1]Raw Data'!$B$2:$O$102,4,FALSE)</f>
        <v>248</v>
      </c>
      <c r="J279" s="17"/>
      <c r="K279" s="17"/>
      <c r="L279" s="17">
        <f>VLOOKUP("MT",'[1]Raw Data'!$B$2:$O$102,5,FALSE)</f>
        <v>207</v>
      </c>
      <c r="M279" s="17"/>
      <c r="N279" s="17"/>
      <c r="O279" s="17">
        <f>VLOOKUP("MT",'[1]Raw Data'!$B$2:$O$102,6,FALSE)</f>
        <v>145</v>
      </c>
    </row>
    <row r="280" spans="1:15" ht="13.5" customHeight="1" x14ac:dyDescent="0.25">
      <c r="A280" s="13"/>
      <c r="B280" s="13" t="s">
        <v>10</v>
      </c>
      <c r="C280" s="13"/>
      <c r="D280" s="13"/>
      <c r="E280" s="13"/>
      <c r="F280" s="17">
        <f>VLOOKUP("MT",'[1]Raw Data'!$B$2:$O$102,7,FALSE)</f>
        <v>128</v>
      </c>
      <c r="G280" s="17"/>
      <c r="H280" s="17"/>
      <c r="I280" s="17">
        <f>VLOOKUP("MT",'[1]Raw Data'!$B$2:$O$102,8,FALSE)</f>
        <v>38</v>
      </c>
      <c r="J280" s="17"/>
      <c r="K280" s="17"/>
      <c r="L280" s="17">
        <f>VLOOKUP("MT",'[1]Raw Data'!$B$2:$O$102,9,FALSE)</f>
        <v>96</v>
      </c>
      <c r="M280" s="17"/>
      <c r="N280" s="17"/>
      <c r="O280" s="17">
        <f>VLOOKUP("MT",'[1]Raw Data'!$B$2:$O$102,10,FALSE)</f>
        <v>70</v>
      </c>
    </row>
    <row r="281" spans="1:15" ht="13.5" customHeight="1" x14ac:dyDescent="0.25">
      <c r="A281" s="13"/>
      <c r="B281" s="13" t="s">
        <v>11</v>
      </c>
      <c r="C281" s="13"/>
      <c r="D281" s="13"/>
      <c r="E281" s="13"/>
      <c r="F281" s="17">
        <f>VLOOKUP("MT",'[1]Raw Data'!$B$2:$O$102,11,FALSE)</f>
        <v>64</v>
      </c>
      <c r="G281" s="17"/>
      <c r="H281" s="17"/>
      <c r="I281" s="17">
        <f>VLOOKUP("MT",'[1]Raw Data'!$B$2:$O$102,12,FALSE)</f>
        <v>496</v>
      </c>
      <c r="J281" s="17"/>
      <c r="K281" s="17"/>
      <c r="L281" s="17">
        <f>VLOOKUP("MT",'[1]Raw Data'!$B$2:$O$102,13,FALSE)</f>
        <v>491</v>
      </c>
      <c r="M281" s="17"/>
      <c r="N281" s="17"/>
      <c r="O281" s="17">
        <f>VLOOKUP("MT",'[1]Raw Data'!$B$2:$O$102,14,FALSE)</f>
        <v>69</v>
      </c>
    </row>
    <row r="282" spans="1:15" ht="12" customHeight="1" x14ac:dyDescent="0.25"/>
    <row r="283" spans="1:15" ht="13.5" customHeight="1" x14ac:dyDescent="0.25">
      <c r="A283" s="13"/>
      <c r="B283" s="13"/>
      <c r="C283" s="18" t="str">
        <f>IF(VLOOKUP("NC, E",'[1]Raw Data'!$B$2:$O$102,2,FALSE)="CDO","NC, E"&amp;" "&amp;CHAR(178),"NC, E")</f>
        <v>NC, E</v>
      </c>
      <c r="D283" s="13"/>
      <c r="F283" s="15">
        <f>SUM(F284:F286)</f>
        <v>2868</v>
      </c>
      <c r="G283" s="15"/>
      <c r="H283" s="15"/>
      <c r="I283" s="15">
        <f>SUM(I284:I286)</f>
        <v>1808</v>
      </c>
      <c r="J283" s="15"/>
      <c r="K283" s="15"/>
      <c r="L283" s="15">
        <f>SUM(L284:L286)</f>
        <v>2222</v>
      </c>
      <c r="M283" s="15"/>
      <c r="N283" s="15"/>
      <c r="O283" s="15">
        <f>SUM(O284:O286)</f>
        <v>2447</v>
      </c>
    </row>
    <row r="284" spans="1:15" ht="13.5" customHeight="1" x14ac:dyDescent="0.25">
      <c r="A284" s="13"/>
      <c r="B284" s="13" t="s">
        <v>9</v>
      </c>
      <c r="C284" s="13"/>
      <c r="D284" s="13"/>
      <c r="E284" s="13"/>
      <c r="F284" s="17">
        <f>VLOOKUP("NC, E",'[1]Raw Data'!$B$2:$O$102,3,FALSE)</f>
        <v>434</v>
      </c>
      <c r="G284" s="17"/>
      <c r="H284" s="17"/>
      <c r="I284" s="17">
        <f>VLOOKUP("NC, E",'[1]Raw Data'!$B$2:$O$102,4,FALSE)</f>
        <v>817</v>
      </c>
      <c r="J284" s="17"/>
      <c r="K284" s="17"/>
      <c r="L284" s="17">
        <f>VLOOKUP("NC, E",'[1]Raw Data'!$B$2:$O$102,5,FALSE)</f>
        <v>712</v>
      </c>
      <c r="M284" s="17"/>
      <c r="N284" s="17"/>
      <c r="O284" s="17">
        <f>VLOOKUP("NC, E",'[1]Raw Data'!$B$2:$O$102,6,FALSE)</f>
        <v>536</v>
      </c>
    </row>
    <row r="285" spans="1:15" ht="13.5" customHeight="1" x14ac:dyDescent="0.25">
      <c r="A285" s="13"/>
      <c r="B285" s="13" t="s">
        <v>10</v>
      </c>
      <c r="C285" s="13"/>
      <c r="D285" s="13"/>
      <c r="E285" s="13"/>
      <c r="F285" s="17">
        <f>VLOOKUP("NC, E",'[1]Raw Data'!$B$2:$O$102,7,FALSE)</f>
        <v>427</v>
      </c>
      <c r="G285" s="17"/>
      <c r="H285" s="17"/>
      <c r="I285" s="17">
        <f>VLOOKUP("NC, E",'[1]Raw Data'!$B$2:$O$102,8,FALSE)</f>
        <v>130</v>
      </c>
      <c r="J285" s="17"/>
      <c r="K285" s="17"/>
      <c r="L285" s="17">
        <f>VLOOKUP("NC, E",'[1]Raw Data'!$B$2:$O$102,9,FALSE)</f>
        <v>127</v>
      </c>
      <c r="M285" s="17"/>
      <c r="N285" s="17"/>
      <c r="O285" s="17">
        <f>VLOOKUP("NC, E",'[1]Raw Data'!$B$2:$O$102,10,FALSE)</f>
        <v>431</v>
      </c>
    </row>
    <row r="286" spans="1:15" ht="13.5" customHeight="1" x14ac:dyDescent="0.25">
      <c r="A286" s="13"/>
      <c r="B286" s="13" t="s">
        <v>11</v>
      </c>
      <c r="C286" s="13"/>
      <c r="D286" s="13"/>
      <c r="E286" s="13"/>
      <c r="F286" s="17">
        <f>VLOOKUP("NC, E",'[1]Raw Data'!$B$2:$O$102,11,FALSE)</f>
        <v>2007</v>
      </c>
      <c r="G286" s="17"/>
      <c r="H286" s="17"/>
      <c r="I286" s="17">
        <f>VLOOKUP("NC, E",'[1]Raw Data'!$B$2:$O$102,12,FALSE)</f>
        <v>861</v>
      </c>
      <c r="J286" s="17"/>
      <c r="K286" s="17"/>
      <c r="L286" s="17">
        <f>VLOOKUP("NC, E",'[1]Raw Data'!$B$2:$O$102,13,FALSE)</f>
        <v>1383</v>
      </c>
      <c r="M286" s="17"/>
      <c r="N286" s="17"/>
      <c r="O286" s="17">
        <f>VLOOKUP("NC, E",'[1]Raw Data'!$B$2:$O$102,14,FALSE)</f>
        <v>1480</v>
      </c>
    </row>
    <row r="287" spans="1:15" ht="12" customHeight="1" x14ac:dyDescent="0.25"/>
    <row r="288" spans="1:15" ht="13.5" customHeight="1" x14ac:dyDescent="0.25">
      <c r="A288" s="13"/>
      <c r="B288" s="13"/>
      <c r="C288" s="18" t="str">
        <f>IF(VLOOKUP("NC, M",'[1]Raw Data'!$B$2:$O$102,2,FALSE)="CDO","NC, M"&amp;" "&amp;CHAR(178),"NC, M")</f>
        <v>NC, M</v>
      </c>
      <c r="D288" s="13"/>
      <c r="F288" s="15">
        <f>SUM(F289:F291)</f>
        <v>980</v>
      </c>
      <c r="G288" s="15"/>
      <c r="H288" s="15"/>
      <c r="I288" s="15">
        <f>SUM(I289:I291)</f>
        <v>424</v>
      </c>
      <c r="J288" s="15"/>
      <c r="K288" s="15"/>
      <c r="L288" s="15">
        <f>SUM(L289:L291)</f>
        <v>705</v>
      </c>
      <c r="M288" s="15"/>
      <c r="N288" s="15"/>
      <c r="O288" s="15">
        <f>SUM(O289:O291)</f>
        <v>698</v>
      </c>
    </row>
    <row r="289" spans="1:15" ht="13.5" customHeight="1" x14ac:dyDescent="0.25">
      <c r="A289" s="13"/>
      <c r="B289" s="13" t="s">
        <v>9</v>
      </c>
      <c r="C289" s="13"/>
      <c r="D289" s="13"/>
      <c r="E289" s="13"/>
      <c r="F289" s="17">
        <f>VLOOKUP("NC, M",'[1]Raw Data'!$B$2:$O$102,3,FALSE)</f>
        <v>191</v>
      </c>
      <c r="G289" s="17"/>
      <c r="H289" s="17"/>
      <c r="I289" s="17">
        <f>VLOOKUP("NC, M",'[1]Raw Data'!$B$2:$O$102,4,FALSE)</f>
        <v>237</v>
      </c>
      <c r="J289" s="17"/>
      <c r="K289" s="17"/>
      <c r="L289" s="17">
        <f>VLOOKUP("NC, M",'[1]Raw Data'!$B$2:$O$102,5,FALSE)</f>
        <v>212</v>
      </c>
      <c r="M289" s="17"/>
      <c r="N289" s="17"/>
      <c r="O289" s="17">
        <f>VLOOKUP("NC, M",'[1]Raw Data'!$B$2:$O$102,6,FALSE)</f>
        <v>217</v>
      </c>
    </row>
    <row r="290" spans="1:15" ht="13.5" customHeight="1" x14ac:dyDescent="0.25">
      <c r="A290" s="13"/>
      <c r="B290" s="13" t="s">
        <v>10</v>
      </c>
      <c r="C290" s="13"/>
      <c r="D290" s="13"/>
      <c r="E290" s="13"/>
      <c r="F290" s="17">
        <f>VLOOKUP("NC, M",'[1]Raw Data'!$B$2:$O$102,7,FALSE)</f>
        <v>544</v>
      </c>
      <c r="G290" s="17"/>
      <c r="H290" s="17"/>
      <c r="I290" s="17">
        <f>VLOOKUP("NC, M",'[1]Raw Data'!$B$2:$O$102,8,FALSE)</f>
        <v>51</v>
      </c>
      <c r="J290" s="17"/>
      <c r="K290" s="17"/>
      <c r="L290" s="17">
        <f>VLOOKUP("NC, M",'[1]Raw Data'!$B$2:$O$102,9,FALSE)</f>
        <v>265</v>
      </c>
      <c r="M290" s="17"/>
      <c r="N290" s="17"/>
      <c r="O290" s="17">
        <f>VLOOKUP("NC, M",'[1]Raw Data'!$B$2:$O$102,10,FALSE)</f>
        <v>330</v>
      </c>
    </row>
    <row r="291" spans="1:15" ht="13.5" customHeight="1" x14ac:dyDescent="0.25">
      <c r="A291" s="13"/>
      <c r="B291" s="13" t="s">
        <v>11</v>
      </c>
      <c r="C291" s="13"/>
      <c r="D291" s="13"/>
      <c r="E291" s="13"/>
      <c r="F291" s="17">
        <f>VLOOKUP("NC, M",'[1]Raw Data'!$B$2:$O$102,11,FALSE)</f>
        <v>245</v>
      </c>
      <c r="G291" s="17"/>
      <c r="H291" s="17"/>
      <c r="I291" s="17">
        <f>VLOOKUP("NC, M",'[1]Raw Data'!$B$2:$O$102,12,FALSE)</f>
        <v>136</v>
      </c>
      <c r="J291" s="17"/>
      <c r="K291" s="17"/>
      <c r="L291" s="17">
        <f>VLOOKUP("NC, M",'[1]Raw Data'!$B$2:$O$102,13,FALSE)</f>
        <v>228</v>
      </c>
      <c r="M291" s="17"/>
      <c r="N291" s="17"/>
      <c r="O291" s="17">
        <f>VLOOKUP("NC, M",'[1]Raw Data'!$B$2:$O$102,14,FALSE)</f>
        <v>151</v>
      </c>
    </row>
    <row r="292" spans="1:15" ht="12" customHeight="1" x14ac:dyDescent="0.25"/>
    <row r="293" spans="1:15" ht="13.5" customHeight="1" x14ac:dyDescent="0.25">
      <c r="A293" s="13"/>
      <c r="B293" s="13"/>
      <c r="C293" s="18" t="str">
        <f>IF(VLOOKUP("NC, W",'[1]Raw Data'!$B$2:$O$102,2,FALSE)="CDO","NC, W"&amp;" "&amp;CHAR(178),"NC, W")</f>
        <v>NC, W</v>
      </c>
      <c r="D293" s="13"/>
      <c r="F293" s="15">
        <f>SUM(F294:F296)</f>
        <v>1345</v>
      </c>
      <c r="G293" s="15"/>
      <c r="H293" s="15"/>
      <c r="I293" s="15">
        <f>SUM(I294:I296)</f>
        <v>1117</v>
      </c>
      <c r="J293" s="15"/>
      <c r="K293" s="15"/>
      <c r="L293" s="15">
        <f>SUM(L294:L296)</f>
        <v>1766</v>
      </c>
      <c r="M293" s="15"/>
      <c r="N293" s="15"/>
      <c r="O293" s="15">
        <f>SUM(O294:O296)</f>
        <v>693</v>
      </c>
    </row>
    <row r="294" spans="1:15" ht="13.5" customHeight="1" x14ac:dyDescent="0.25">
      <c r="A294" s="13"/>
      <c r="B294" s="13" t="s">
        <v>9</v>
      </c>
      <c r="C294" s="13"/>
      <c r="D294" s="13"/>
      <c r="E294" s="13"/>
      <c r="F294" s="17">
        <f>VLOOKUP("NC, W",'[1]Raw Data'!$B$2:$O$102,3,FALSE)</f>
        <v>178</v>
      </c>
      <c r="G294" s="17"/>
      <c r="H294" s="17"/>
      <c r="I294" s="17">
        <f>VLOOKUP("NC, W",'[1]Raw Data'!$B$2:$O$102,4,FALSE)</f>
        <v>336</v>
      </c>
      <c r="J294" s="17"/>
      <c r="K294" s="17"/>
      <c r="L294" s="17">
        <f>VLOOKUP("NC, W",'[1]Raw Data'!$B$2:$O$102,5,FALSE)</f>
        <v>285</v>
      </c>
      <c r="M294" s="17"/>
      <c r="N294" s="17"/>
      <c r="O294" s="17">
        <f>VLOOKUP("NC, W",'[1]Raw Data'!$B$2:$O$102,6,FALSE)</f>
        <v>237</v>
      </c>
    </row>
    <row r="295" spans="1:15" ht="13.5" customHeight="1" x14ac:dyDescent="0.25">
      <c r="A295" s="13"/>
      <c r="B295" s="13" t="s">
        <v>10</v>
      </c>
      <c r="C295" s="13"/>
      <c r="D295" s="13"/>
      <c r="E295" s="13"/>
      <c r="F295" s="17">
        <f>VLOOKUP("NC, W",'[1]Raw Data'!$B$2:$O$102,7,FALSE)</f>
        <v>326</v>
      </c>
      <c r="G295" s="17"/>
      <c r="H295" s="17"/>
      <c r="I295" s="17">
        <f>VLOOKUP("NC, W",'[1]Raw Data'!$B$2:$O$102,8,FALSE)</f>
        <v>45</v>
      </c>
      <c r="J295" s="17"/>
      <c r="K295" s="17"/>
      <c r="L295" s="17">
        <f>VLOOKUP("NC, W",'[1]Raw Data'!$B$2:$O$102,9,FALSE)</f>
        <v>154</v>
      </c>
      <c r="M295" s="17"/>
      <c r="N295" s="17"/>
      <c r="O295" s="17">
        <f>VLOOKUP("NC, W",'[1]Raw Data'!$B$2:$O$102,10,FALSE)</f>
        <v>212</v>
      </c>
    </row>
    <row r="296" spans="1:15" ht="13.5" customHeight="1" x14ac:dyDescent="0.25">
      <c r="A296" s="13"/>
      <c r="B296" s="13" t="s">
        <v>11</v>
      </c>
      <c r="C296" s="13"/>
      <c r="D296" s="13"/>
      <c r="E296" s="13"/>
      <c r="F296" s="17">
        <f>VLOOKUP("NC, W",'[1]Raw Data'!$B$2:$O$102,11,FALSE)</f>
        <v>841</v>
      </c>
      <c r="G296" s="17"/>
      <c r="H296" s="17"/>
      <c r="I296" s="17">
        <f>VLOOKUP("NC, W",'[1]Raw Data'!$B$2:$O$102,12,FALSE)</f>
        <v>736</v>
      </c>
      <c r="J296" s="17"/>
      <c r="K296" s="17"/>
      <c r="L296" s="17">
        <f>VLOOKUP("NC, W",'[1]Raw Data'!$B$2:$O$102,13,FALSE)</f>
        <v>1327</v>
      </c>
      <c r="M296" s="17"/>
      <c r="N296" s="17"/>
      <c r="O296" s="17">
        <f>VLOOKUP("NC, W",'[1]Raw Data'!$B$2:$O$102,14,FALSE)</f>
        <v>244</v>
      </c>
    </row>
    <row r="297" spans="1:15" ht="12" customHeight="1" x14ac:dyDescent="0.25"/>
    <row r="298" spans="1:15" ht="13.5" customHeight="1" x14ac:dyDescent="0.25">
      <c r="A298" s="13"/>
      <c r="B298" s="13"/>
      <c r="C298" s="18" t="str">
        <f>IF(VLOOKUP("TOT: SD/ND",'[1]Raw Data'!$B$2:$O$102,2,FALSE)="CDO","TOT: ND/SD"&amp;" "&amp;CHAR(178),"TOT: ND/SD")</f>
        <v>TOT: ND/SD</v>
      </c>
      <c r="D298" s="13"/>
      <c r="F298" s="15">
        <f>IF(SUM(F299:F301)-SUM(F308,F303)=0,SUM(F299:F301),999999999)</f>
        <v>631</v>
      </c>
      <c r="G298" s="15"/>
      <c r="H298" s="15"/>
      <c r="I298" s="15">
        <f>IF(SUM(I299:I301)-SUM(I308,I303)=0,SUM(I299:I301),999999999)</f>
        <v>1282</v>
      </c>
      <c r="J298" s="15"/>
      <c r="K298" s="15"/>
      <c r="L298" s="15">
        <f>IF(SUM(L299:L301)-SUM(L308,L303)=0,SUM(L299:L301),999999999)</f>
        <v>1280</v>
      </c>
      <c r="M298" s="15"/>
      <c r="N298" s="15"/>
      <c r="O298" s="15">
        <f>IF(SUM(O299:O301)-SUM(O308,O303)=0,SUM(O299:O301),999999999)</f>
        <v>625</v>
      </c>
    </row>
    <row r="299" spans="1:15" ht="13.5" customHeight="1" x14ac:dyDescent="0.25">
      <c r="A299" s="13"/>
      <c r="B299" s="13" t="s">
        <v>9</v>
      </c>
      <c r="C299" s="13"/>
      <c r="D299" s="13"/>
      <c r="E299" s="13"/>
      <c r="F299" s="17">
        <f>VLOOKUP("TOT: SD/ND",'[1]Raw Data'!$B$2:$O$102,3,FALSE)</f>
        <v>369</v>
      </c>
      <c r="G299" s="17"/>
      <c r="H299" s="17"/>
      <c r="I299" s="17">
        <f>VLOOKUP("TOT: SD/ND",'[1]Raw Data'!$B$2:$O$102,4,FALSE)</f>
        <v>592</v>
      </c>
      <c r="J299" s="17"/>
      <c r="K299" s="17"/>
      <c r="L299" s="17">
        <f>VLOOKUP("TOT: SD/ND",'[1]Raw Data'!$B$2:$O$102,5,FALSE)</f>
        <v>555</v>
      </c>
      <c r="M299" s="17"/>
      <c r="N299" s="17"/>
      <c r="O299" s="17">
        <f>VLOOKUP("TOT: SD/ND",'[1]Raw Data'!$B$2:$O$102,6,FALSE)</f>
        <v>409</v>
      </c>
    </row>
    <row r="300" spans="1:15" ht="13.5" customHeight="1" x14ac:dyDescent="0.25">
      <c r="A300" s="13"/>
      <c r="B300" s="13" t="s">
        <v>10</v>
      </c>
      <c r="C300" s="13"/>
      <c r="D300" s="13"/>
      <c r="E300" s="13"/>
      <c r="F300" s="17">
        <f>VLOOKUP("TOT: SD/ND",'[1]Raw Data'!$B$2:$O$102,7,FALSE)</f>
        <v>150</v>
      </c>
      <c r="G300" s="17"/>
      <c r="H300" s="17"/>
      <c r="I300" s="17">
        <f>VLOOKUP("TOT: SD/ND",'[1]Raw Data'!$B$2:$O$102,8,FALSE)</f>
        <v>54</v>
      </c>
      <c r="J300" s="17"/>
      <c r="K300" s="17"/>
      <c r="L300" s="17">
        <f>VLOOKUP("TOT: SD/ND",'[1]Raw Data'!$B$2:$O$102,9,FALSE)</f>
        <v>131</v>
      </c>
      <c r="M300" s="17"/>
      <c r="N300" s="17"/>
      <c r="O300" s="17">
        <f>VLOOKUP("TOT: SD/ND",'[1]Raw Data'!$B$2:$O$102,10,FALSE)</f>
        <v>74</v>
      </c>
    </row>
    <row r="301" spans="1:15" ht="13.5" customHeight="1" x14ac:dyDescent="0.25">
      <c r="A301" s="13"/>
      <c r="B301" s="13" t="s">
        <v>11</v>
      </c>
      <c r="C301" s="13"/>
      <c r="D301" s="13"/>
      <c r="E301" s="13"/>
      <c r="F301" s="17">
        <f>VLOOKUP("TOT: SD/ND",'[1]Raw Data'!$B$2:$O$102,11,FALSE)</f>
        <v>112</v>
      </c>
      <c r="G301" s="17"/>
      <c r="H301" s="17"/>
      <c r="I301" s="17">
        <f>VLOOKUP("TOT: SD/ND",'[1]Raw Data'!$B$2:$O$102,12,FALSE)</f>
        <v>636</v>
      </c>
      <c r="J301" s="17"/>
      <c r="K301" s="17"/>
      <c r="L301" s="17">
        <f>VLOOKUP("TOT: SD/ND",'[1]Raw Data'!$B$2:$O$102,13,FALSE)</f>
        <v>594</v>
      </c>
      <c r="M301" s="17"/>
      <c r="N301" s="17"/>
      <c r="O301" s="17">
        <f>VLOOKUP("TOT: SD/ND",'[1]Raw Data'!$B$2:$O$102,14,FALSE)</f>
        <v>142</v>
      </c>
    </row>
    <row r="302" spans="1:15" ht="12" customHeight="1" x14ac:dyDescent="0.25"/>
    <row r="303" spans="1:15" ht="13.5" customHeight="1" x14ac:dyDescent="0.25">
      <c r="A303" s="13"/>
      <c r="B303" s="13"/>
      <c r="C303" s="18" t="str">
        <f>IF(VLOOKUP("   ND",'[1]Raw Data'!$B$2:$O$102,2,FALSE)="CDO","ND"&amp;" "&amp;CHAR(178),"ND")</f>
        <v>ND</v>
      </c>
      <c r="D303" s="13"/>
      <c r="F303" s="15">
        <f>SUM(F304:F306)</f>
        <v>284</v>
      </c>
      <c r="G303" s="15"/>
      <c r="H303" s="15"/>
      <c r="I303" s="15">
        <f>SUM(I304:I306)</f>
        <v>429</v>
      </c>
      <c r="J303" s="15"/>
      <c r="K303" s="15"/>
      <c r="L303" s="15">
        <f>SUM(L304:L306)</f>
        <v>478</v>
      </c>
      <c r="M303" s="15"/>
      <c r="N303" s="15"/>
      <c r="O303" s="15">
        <f>SUM(O304:O306)</f>
        <v>236</v>
      </c>
    </row>
    <row r="304" spans="1:15" ht="13.5" customHeight="1" x14ac:dyDescent="0.25">
      <c r="A304" s="13"/>
      <c r="B304" s="13" t="s">
        <v>9</v>
      </c>
      <c r="C304" s="13"/>
      <c r="D304" s="13"/>
      <c r="E304" s="13"/>
      <c r="F304" s="17">
        <f>VLOOKUP("   ND",'[1]Raw Data'!$B$2:$O$102,3,FALSE)</f>
        <v>124</v>
      </c>
      <c r="G304" s="17"/>
      <c r="H304" s="17"/>
      <c r="I304" s="17">
        <f>VLOOKUP("   ND",'[1]Raw Data'!$B$2:$O$102,4,FALSE)</f>
        <v>202</v>
      </c>
      <c r="J304" s="17"/>
      <c r="K304" s="17"/>
      <c r="L304" s="17">
        <f>VLOOKUP("   ND",'[1]Raw Data'!$B$2:$O$102,5,FALSE)</f>
        <v>179</v>
      </c>
      <c r="M304" s="17"/>
      <c r="N304" s="17"/>
      <c r="O304" s="17">
        <f>VLOOKUP("   ND",'[1]Raw Data'!$B$2:$O$102,6,FALSE)</f>
        <v>154</v>
      </c>
    </row>
    <row r="305" spans="1:15" ht="13.5" customHeight="1" x14ac:dyDescent="0.25">
      <c r="A305" s="13"/>
      <c r="B305" s="13" t="s">
        <v>10</v>
      </c>
      <c r="C305" s="13"/>
      <c r="D305" s="13"/>
      <c r="E305" s="13"/>
      <c r="F305" s="17">
        <f>VLOOKUP("   ND",'[1]Raw Data'!$B$2:$O$102,7,FALSE)</f>
        <v>133</v>
      </c>
      <c r="G305" s="17"/>
      <c r="H305" s="17"/>
      <c r="I305" s="17">
        <f>VLOOKUP("   ND",'[1]Raw Data'!$B$2:$O$102,8,FALSE)</f>
        <v>26</v>
      </c>
      <c r="J305" s="17"/>
      <c r="K305" s="17"/>
      <c r="L305" s="17">
        <f>VLOOKUP("   ND",'[1]Raw Data'!$B$2:$O$102,9,FALSE)</f>
        <v>108</v>
      </c>
      <c r="M305" s="17"/>
      <c r="N305" s="17"/>
      <c r="O305" s="17">
        <f>VLOOKUP("   ND",'[1]Raw Data'!$B$2:$O$102,10,FALSE)</f>
        <v>52</v>
      </c>
    </row>
    <row r="306" spans="1:15" ht="13.5" customHeight="1" x14ac:dyDescent="0.25">
      <c r="A306" s="13"/>
      <c r="B306" s="13" t="s">
        <v>11</v>
      </c>
      <c r="C306" s="13"/>
      <c r="D306" s="13"/>
      <c r="E306" s="13"/>
      <c r="F306" s="17">
        <f>VLOOKUP("   ND",'[1]Raw Data'!$B$2:$O$102,11,FALSE)</f>
        <v>27</v>
      </c>
      <c r="G306" s="17"/>
      <c r="H306" s="17"/>
      <c r="I306" s="17">
        <f>VLOOKUP("   ND",'[1]Raw Data'!$B$2:$O$102,12,FALSE)</f>
        <v>201</v>
      </c>
      <c r="J306" s="17"/>
      <c r="K306" s="17"/>
      <c r="L306" s="17">
        <f>VLOOKUP("   ND",'[1]Raw Data'!$B$2:$O$102,13,FALSE)</f>
        <v>191</v>
      </c>
      <c r="M306" s="17"/>
      <c r="N306" s="17"/>
      <c r="O306" s="17">
        <f>VLOOKUP("   ND",'[1]Raw Data'!$B$2:$O$102,14,FALSE)</f>
        <v>30</v>
      </c>
    </row>
    <row r="307" spans="1:15" ht="12" customHeight="1" x14ac:dyDescent="0.25"/>
    <row r="308" spans="1:15" ht="13.5" customHeight="1" x14ac:dyDescent="0.25">
      <c r="A308" s="13"/>
      <c r="B308" s="13"/>
      <c r="C308" s="18" t="str">
        <f>IF(VLOOKUP("   SD",'[1]Raw Data'!$B$2:$O$102,2,FALSE)="CDO","SD"&amp;" "&amp;CHAR(178),"SD")</f>
        <v>SD</v>
      </c>
      <c r="D308" s="13"/>
      <c r="F308" s="15">
        <f>SUM(F309:F311)</f>
        <v>347</v>
      </c>
      <c r="G308" s="15"/>
      <c r="H308" s="15"/>
      <c r="I308" s="15">
        <f>SUM(I309:I311)</f>
        <v>853</v>
      </c>
      <c r="J308" s="15"/>
      <c r="K308" s="15"/>
      <c r="L308" s="15">
        <f>SUM(L309:L311)</f>
        <v>802</v>
      </c>
      <c r="M308" s="15"/>
      <c r="N308" s="15"/>
      <c r="O308" s="15">
        <f>SUM(O309:O311)</f>
        <v>389</v>
      </c>
    </row>
    <row r="309" spans="1:15" ht="13.5" customHeight="1" x14ac:dyDescent="0.25">
      <c r="A309" s="13"/>
      <c r="B309" s="13" t="s">
        <v>9</v>
      </c>
      <c r="C309" s="13"/>
      <c r="D309" s="13"/>
      <c r="E309" s="13"/>
      <c r="F309" s="17">
        <f>VLOOKUP("   SD",'[1]Raw Data'!$B$2:$O$102,3,FALSE)</f>
        <v>245</v>
      </c>
      <c r="G309" s="17"/>
      <c r="H309" s="17"/>
      <c r="I309" s="17">
        <f>VLOOKUP("   SD",'[1]Raw Data'!$B$2:$O$102,4,FALSE)</f>
        <v>390</v>
      </c>
      <c r="J309" s="17"/>
      <c r="K309" s="17"/>
      <c r="L309" s="17">
        <f>VLOOKUP("   SD",'[1]Raw Data'!$B$2:$O$102,5,FALSE)</f>
        <v>376</v>
      </c>
      <c r="M309" s="17"/>
      <c r="N309" s="17"/>
      <c r="O309" s="17">
        <f>VLOOKUP("   SD",'[1]Raw Data'!$B$2:$O$102,6,FALSE)</f>
        <v>255</v>
      </c>
    </row>
    <row r="310" spans="1:15" ht="13.5" customHeight="1" x14ac:dyDescent="0.25">
      <c r="A310" s="13"/>
      <c r="B310" s="13" t="s">
        <v>10</v>
      </c>
      <c r="C310" s="13"/>
      <c r="D310" s="13"/>
      <c r="E310" s="13"/>
      <c r="F310" s="17">
        <f>VLOOKUP("   SD",'[1]Raw Data'!$B$2:$O$102,7,FALSE)</f>
        <v>17</v>
      </c>
      <c r="G310" s="17"/>
      <c r="H310" s="17"/>
      <c r="I310" s="17">
        <f>VLOOKUP("   SD",'[1]Raw Data'!$B$2:$O$102,8,FALSE)</f>
        <v>28</v>
      </c>
      <c r="J310" s="17"/>
      <c r="K310" s="17"/>
      <c r="L310" s="17">
        <f>VLOOKUP("   SD",'[1]Raw Data'!$B$2:$O$102,9,FALSE)</f>
        <v>23</v>
      </c>
      <c r="M310" s="17"/>
      <c r="N310" s="17"/>
      <c r="O310" s="17">
        <f>VLOOKUP("   SD",'[1]Raw Data'!$B$2:$O$102,10,FALSE)</f>
        <v>22</v>
      </c>
    </row>
    <row r="311" spans="1:15" ht="13.5" customHeight="1" x14ac:dyDescent="0.25">
      <c r="A311" s="13"/>
      <c r="B311" s="13" t="s">
        <v>11</v>
      </c>
      <c r="C311" s="13"/>
      <c r="D311" s="13"/>
      <c r="E311" s="13"/>
      <c r="F311" s="17">
        <f>VLOOKUP("   SD",'[1]Raw Data'!$B$2:$O$102,11,FALSE)</f>
        <v>85</v>
      </c>
      <c r="G311" s="17"/>
      <c r="H311" s="17"/>
      <c r="I311" s="17">
        <f>VLOOKUP("   SD",'[1]Raw Data'!$B$2:$O$102,12,FALSE)</f>
        <v>435</v>
      </c>
      <c r="J311" s="17"/>
      <c r="K311" s="17"/>
      <c r="L311" s="17">
        <f>VLOOKUP("   SD",'[1]Raw Data'!$B$2:$O$102,13,FALSE)</f>
        <v>403</v>
      </c>
      <c r="M311" s="17"/>
      <c r="N311" s="17"/>
      <c r="O311" s="17">
        <f>VLOOKUP("   SD",'[1]Raw Data'!$B$2:$O$102,14,FALSE)</f>
        <v>112</v>
      </c>
    </row>
    <row r="312" spans="1:15" ht="12" customHeight="1" x14ac:dyDescent="0.25"/>
    <row r="313" spans="1:15" ht="13.5" customHeight="1" x14ac:dyDescent="0.25">
      <c r="A313" s="13"/>
      <c r="B313" s="13"/>
      <c r="C313" s="18" t="str">
        <f>IF(VLOOKUP("NE",'[1]Raw Data'!$B$2:$O$102,2,FALSE)="CDO","NE"&amp;" "&amp;CHAR(178),"NE")</f>
        <v>NE</v>
      </c>
      <c r="D313" s="13"/>
      <c r="F313" s="15">
        <f>SUM(F314:F316)</f>
        <v>403</v>
      </c>
      <c r="G313" s="15"/>
      <c r="H313" s="15"/>
      <c r="I313" s="15">
        <f>SUM(I314:I316)</f>
        <v>687</v>
      </c>
      <c r="J313" s="15"/>
      <c r="K313" s="15"/>
      <c r="L313" s="15">
        <f>SUM(L314:L316)</f>
        <v>702</v>
      </c>
      <c r="M313" s="15"/>
      <c r="N313" s="15"/>
      <c r="O313" s="15">
        <f>SUM(O314:O316)</f>
        <v>387</v>
      </c>
    </row>
    <row r="314" spans="1:15" ht="13.5" customHeight="1" x14ac:dyDescent="0.25">
      <c r="A314" s="13"/>
      <c r="B314" s="13" t="s">
        <v>9</v>
      </c>
      <c r="C314" s="13"/>
      <c r="D314" s="13"/>
      <c r="E314" s="13"/>
      <c r="F314" s="17">
        <f>VLOOKUP("NE",'[1]Raw Data'!$B$2:$O$102,3,FALSE)</f>
        <v>189</v>
      </c>
      <c r="G314" s="17"/>
      <c r="H314" s="17"/>
      <c r="I314" s="17">
        <f>VLOOKUP("NE",'[1]Raw Data'!$B$2:$O$102,4,FALSE)</f>
        <v>399</v>
      </c>
      <c r="J314" s="17"/>
      <c r="K314" s="17"/>
      <c r="L314" s="17">
        <f>VLOOKUP("NE",'[1]Raw Data'!$B$2:$O$102,5,FALSE)</f>
        <v>389</v>
      </c>
      <c r="M314" s="17"/>
      <c r="N314" s="17"/>
      <c r="O314" s="17">
        <f>VLOOKUP("NE",'[1]Raw Data'!$B$2:$O$102,6,FALSE)</f>
        <v>197</v>
      </c>
    </row>
    <row r="315" spans="1:15" ht="13.5" customHeight="1" x14ac:dyDescent="0.25">
      <c r="A315" s="13"/>
      <c r="B315" s="13" t="s">
        <v>10</v>
      </c>
      <c r="C315" s="13"/>
      <c r="D315" s="13"/>
      <c r="E315" s="13"/>
      <c r="F315" s="17">
        <f>VLOOKUP("NE",'[1]Raw Data'!$B$2:$O$102,7,FALSE)</f>
        <v>75</v>
      </c>
      <c r="G315" s="17"/>
      <c r="H315" s="17"/>
      <c r="I315" s="17">
        <f>VLOOKUP("NE",'[1]Raw Data'!$B$2:$O$102,8,FALSE)</f>
        <v>29</v>
      </c>
      <c r="J315" s="17"/>
      <c r="K315" s="17"/>
      <c r="L315" s="17">
        <f>VLOOKUP("NE",'[1]Raw Data'!$B$2:$O$102,9,FALSE)</f>
        <v>67</v>
      </c>
      <c r="M315" s="17"/>
      <c r="N315" s="17"/>
      <c r="O315" s="17">
        <f>VLOOKUP("NE",'[1]Raw Data'!$B$2:$O$102,10,FALSE)</f>
        <v>37</v>
      </c>
    </row>
    <row r="316" spans="1:15" ht="13.5" customHeight="1" x14ac:dyDescent="0.25">
      <c r="A316" s="13"/>
      <c r="B316" s="13" t="s">
        <v>11</v>
      </c>
      <c r="C316" s="13"/>
      <c r="D316" s="13"/>
      <c r="E316" s="13"/>
      <c r="F316" s="17">
        <f>VLOOKUP("NE",'[1]Raw Data'!$B$2:$O$102,11,FALSE)</f>
        <v>139</v>
      </c>
      <c r="G316" s="17"/>
      <c r="H316" s="17"/>
      <c r="I316" s="17">
        <f>VLOOKUP("NE",'[1]Raw Data'!$B$2:$O$102,12,FALSE)</f>
        <v>259</v>
      </c>
      <c r="J316" s="17"/>
      <c r="K316" s="17"/>
      <c r="L316" s="17">
        <f>VLOOKUP("NE",'[1]Raw Data'!$B$2:$O$102,13,FALSE)</f>
        <v>246</v>
      </c>
      <c r="M316" s="17"/>
      <c r="N316" s="17"/>
      <c r="O316" s="17">
        <f>VLOOKUP("NE",'[1]Raw Data'!$B$2:$O$102,14,FALSE)</f>
        <v>153</v>
      </c>
    </row>
    <row r="317" spans="1:15" ht="12" customHeight="1" x14ac:dyDescent="0.25"/>
    <row r="318" spans="1:15" ht="13.5" customHeight="1" x14ac:dyDescent="0.25">
      <c r="A318" s="13"/>
      <c r="B318" s="13"/>
      <c r="C318" s="18" t="str">
        <f>IF(VLOOKUP("NJ",'[1]Raw Data'!$B$2:$O$102,2,FALSE)="CDO","NJ"&amp;" "&amp;CHAR(178),"NJ")</f>
        <v>NJ</v>
      </c>
      <c r="D318" s="13"/>
      <c r="F318" s="15">
        <f>SUM(F319:F321)</f>
        <v>768</v>
      </c>
      <c r="G318" s="15"/>
      <c r="H318" s="15"/>
      <c r="I318" s="15">
        <f>SUM(I319:I321)</f>
        <v>1152</v>
      </c>
      <c r="J318" s="15"/>
      <c r="K318" s="15"/>
      <c r="L318" s="15">
        <f>SUM(L319:L321)</f>
        <v>1246</v>
      </c>
      <c r="M318" s="15"/>
      <c r="N318" s="15"/>
      <c r="O318" s="15">
        <f>SUM(O319:O321)</f>
        <v>677</v>
      </c>
    </row>
    <row r="319" spans="1:15" ht="13.5" customHeight="1" x14ac:dyDescent="0.25">
      <c r="A319" s="13"/>
      <c r="B319" s="13" t="s">
        <v>9</v>
      </c>
      <c r="C319" s="13"/>
      <c r="D319" s="13"/>
      <c r="E319" s="13"/>
      <c r="F319" s="17">
        <f>VLOOKUP("NJ",'[1]Raw Data'!$B$2:$O$102,3,FALSE)</f>
        <v>339</v>
      </c>
      <c r="G319" s="17"/>
      <c r="H319" s="17"/>
      <c r="I319" s="17">
        <f>VLOOKUP("NJ",'[1]Raw Data'!$B$2:$O$102,4,FALSE)</f>
        <v>710</v>
      </c>
      <c r="J319" s="17"/>
      <c r="K319" s="17"/>
      <c r="L319" s="17">
        <f>VLOOKUP("NJ",'[1]Raw Data'!$B$2:$O$102,5,FALSE)</f>
        <v>727</v>
      </c>
      <c r="M319" s="17"/>
      <c r="N319" s="17"/>
      <c r="O319" s="17">
        <f>VLOOKUP("NJ",'[1]Raw Data'!$B$2:$O$102,6,FALSE)</f>
        <v>324</v>
      </c>
    </row>
    <row r="320" spans="1:15" ht="13.5" customHeight="1" x14ac:dyDescent="0.25">
      <c r="A320" s="13"/>
      <c r="B320" s="13" t="s">
        <v>10</v>
      </c>
      <c r="C320" s="13"/>
      <c r="D320" s="13"/>
      <c r="E320" s="13"/>
      <c r="F320" s="17">
        <f>VLOOKUP("NJ",'[1]Raw Data'!$B$2:$O$102,7,FALSE)</f>
        <v>138</v>
      </c>
      <c r="G320" s="17"/>
      <c r="H320" s="17"/>
      <c r="I320" s="17">
        <f>VLOOKUP("NJ",'[1]Raw Data'!$B$2:$O$102,8,FALSE)</f>
        <v>55</v>
      </c>
      <c r="J320" s="17"/>
      <c r="K320" s="17"/>
      <c r="L320" s="17">
        <f>VLOOKUP("NJ",'[1]Raw Data'!$B$2:$O$102,9,FALSE)</f>
        <v>78</v>
      </c>
      <c r="M320" s="17"/>
      <c r="N320" s="17"/>
      <c r="O320" s="17">
        <f>VLOOKUP("NJ",'[1]Raw Data'!$B$2:$O$102,10,FALSE)</f>
        <v>115</v>
      </c>
    </row>
    <row r="321" spans="1:15" ht="13.5" customHeight="1" x14ac:dyDescent="0.25">
      <c r="A321" s="13"/>
      <c r="B321" s="13" t="s">
        <v>11</v>
      </c>
      <c r="C321" s="13"/>
      <c r="D321" s="13"/>
      <c r="E321" s="13"/>
      <c r="F321" s="17">
        <f>VLOOKUP("NJ",'[1]Raw Data'!$B$2:$O$102,11,FALSE)</f>
        <v>291</v>
      </c>
      <c r="G321" s="17"/>
      <c r="H321" s="17"/>
      <c r="I321" s="17">
        <f>VLOOKUP("NJ",'[1]Raw Data'!$B$2:$O$102,12,FALSE)</f>
        <v>387</v>
      </c>
      <c r="J321" s="17"/>
      <c r="K321" s="17"/>
      <c r="L321" s="17">
        <f>VLOOKUP("NJ",'[1]Raw Data'!$B$2:$O$102,13,FALSE)</f>
        <v>441</v>
      </c>
      <c r="M321" s="17"/>
      <c r="N321" s="17"/>
      <c r="O321" s="17">
        <f>VLOOKUP("NJ",'[1]Raw Data'!$B$2:$O$102,14,FALSE)</f>
        <v>238</v>
      </c>
    </row>
    <row r="322" spans="1:15" ht="12" customHeight="1" x14ac:dyDescent="0.25"/>
    <row r="323" spans="1:15" ht="13.5" customHeight="1" x14ac:dyDescent="0.25">
      <c r="A323" s="13"/>
      <c r="B323" s="13"/>
      <c r="C323" s="18" t="str">
        <f>IF(VLOOKUP("NM",'[1]Raw Data'!$B$2:$O$102,2,FALSE)="CDO","NM"&amp;" "&amp;CHAR(178),"NM")</f>
        <v>NM</v>
      </c>
      <c r="D323" s="13"/>
      <c r="F323" s="15">
        <f>SUM(F324:F326)</f>
        <v>1264</v>
      </c>
      <c r="G323" s="15"/>
      <c r="H323" s="15"/>
      <c r="I323" s="15">
        <f>SUM(I324:I326)</f>
        <v>5912</v>
      </c>
      <c r="J323" s="15"/>
      <c r="K323" s="15"/>
      <c r="L323" s="15">
        <f>SUM(L324:L326)</f>
        <v>5991</v>
      </c>
      <c r="M323" s="15"/>
      <c r="N323" s="15"/>
      <c r="O323" s="15">
        <f>SUM(O324:O326)</f>
        <v>1185</v>
      </c>
    </row>
    <row r="324" spans="1:15" ht="13.5" customHeight="1" x14ac:dyDescent="0.25">
      <c r="A324" s="13"/>
      <c r="B324" s="13" t="s">
        <v>9</v>
      </c>
      <c r="C324" s="13"/>
      <c r="D324" s="13"/>
      <c r="E324" s="13"/>
      <c r="F324" s="17">
        <f>VLOOKUP("NM",'[1]Raw Data'!$B$2:$O$102,3,FALSE)</f>
        <v>938</v>
      </c>
      <c r="G324" s="17"/>
      <c r="H324" s="17"/>
      <c r="I324" s="17">
        <f>VLOOKUP("NM",'[1]Raw Data'!$B$2:$O$102,4,FALSE)</f>
        <v>2870</v>
      </c>
      <c r="J324" s="17"/>
      <c r="K324" s="17"/>
      <c r="L324" s="17">
        <f>VLOOKUP("NM",'[1]Raw Data'!$B$2:$O$102,5,FALSE)</f>
        <v>2861</v>
      </c>
      <c r="M324" s="17"/>
      <c r="N324" s="17"/>
      <c r="O324" s="17">
        <f>VLOOKUP("NM",'[1]Raw Data'!$B$2:$O$102,6,FALSE)</f>
        <v>947</v>
      </c>
    </row>
    <row r="325" spans="1:15" ht="13.5" customHeight="1" x14ac:dyDescent="0.25">
      <c r="A325" s="13"/>
      <c r="B325" s="13" t="s">
        <v>10</v>
      </c>
      <c r="C325" s="13"/>
      <c r="D325" s="13"/>
      <c r="E325" s="13"/>
      <c r="F325" s="17">
        <f>VLOOKUP("NM",'[1]Raw Data'!$B$2:$O$102,7,FALSE)</f>
        <v>116</v>
      </c>
      <c r="G325" s="17"/>
      <c r="H325" s="17"/>
      <c r="I325" s="17">
        <f>VLOOKUP("NM",'[1]Raw Data'!$B$2:$O$102,8,FALSE)</f>
        <v>56</v>
      </c>
      <c r="J325" s="17"/>
      <c r="K325" s="17"/>
      <c r="L325" s="17">
        <f>VLOOKUP("NM",'[1]Raw Data'!$B$2:$O$102,9,FALSE)</f>
        <v>93</v>
      </c>
      <c r="M325" s="17"/>
      <c r="N325" s="17"/>
      <c r="O325" s="17">
        <f>VLOOKUP("NM",'[1]Raw Data'!$B$2:$O$102,10,FALSE)</f>
        <v>79</v>
      </c>
    </row>
    <row r="326" spans="1:15" ht="13.5" customHeight="1" x14ac:dyDescent="0.25">
      <c r="A326" s="13"/>
      <c r="B326" s="13" t="s">
        <v>11</v>
      </c>
      <c r="C326" s="13"/>
      <c r="D326" s="13"/>
      <c r="E326" s="13"/>
      <c r="F326" s="17">
        <f>VLOOKUP("NM",'[1]Raw Data'!$B$2:$O$102,11,FALSE)</f>
        <v>210</v>
      </c>
      <c r="G326" s="17"/>
      <c r="H326" s="17"/>
      <c r="I326" s="17">
        <f>VLOOKUP("NM",'[1]Raw Data'!$B$2:$O$102,12,FALSE)</f>
        <v>2986</v>
      </c>
      <c r="J326" s="17"/>
      <c r="K326" s="17"/>
      <c r="L326" s="17">
        <f>VLOOKUP("NM",'[1]Raw Data'!$B$2:$O$102,13,FALSE)</f>
        <v>3037</v>
      </c>
      <c r="M326" s="17"/>
      <c r="N326" s="17"/>
      <c r="O326" s="17">
        <f>VLOOKUP("NM",'[1]Raw Data'!$B$2:$O$102,14,FALSE)</f>
        <v>159</v>
      </c>
    </row>
    <row r="327" spans="1:15" ht="12" customHeight="1" x14ac:dyDescent="0.25"/>
    <row r="328" spans="1:15" ht="13.5" customHeight="1" x14ac:dyDescent="0.25">
      <c r="A328" s="13"/>
      <c r="B328" s="13"/>
      <c r="C328" s="18" t="str">
        <f>IF(VLOOKUP("NV",'[1]Raw Data'!$B$2:$O$102,2,FALSE)="CDO","NV"&amp;" "&amp;CHAR(178),"NV")</f>
        <v>NV</v>
      </c>
      <c r="D328" s="13"/>
      <c r="F328" s="15">
        <f>SUM(F329:F331)</f>
        <v>1343</v>
      </c>
      <c r="G328" s="15"/>
      <c r="H328" s="15"/>
      <c r="I328" s="15">
        <f>SUM(I329:I331)</f>
        <v>1032</v>
      </c>
      <c r="J328" s="15"/>
      <c r="K328" s="15"/>
      <c r="L328" s="15">
        <f>SUM(L329:L331)</f>
        <v>1352</v>
      </c>
      <c r="M328" s="15"/>
      <c r="N328" s="15"/>
      <c r="O328" s="15">
        <f>SUM(O329:O331)</f>
        <v>993</v>
      </c>
    </row>
    <row r="329" spans="1:15" ht="13.5" customHeight="1" x14ac:dyDescent="0.25">
      <c r="A329" s="13"/>
      <c r="B329" s="13" t="s">
        <v>9</v>
      </c>
      <c r="C329" s="13"/>
      <c r="D329" s="13"/>
      <c r="E329" s="13"/>
      <c r="F329" s="17">
        <f>VLOOKUP("NV",'[1]Raw Data'!$B$2:$O$102,3,FALSE)</f>
        <v>390</v>
      </c>
      <c r="G329" s="17"/>
      <c r="H329" s="17"/>
      <c r="I329" s="17">
        <f>VLOOKUP("NV",'[1]Raw Data'!$B$2:$O$102,4,FALSE)</f>
        <v>533</v>
      </c>
      <c r="J329" s="17"/>
      <c r="K329" s="17"/>
      <c r="L329" s="17">
        <f>VLOOKUP("NV",'[1]Raw Data'!$B$2:$O$102,5,FALSE)</f>
        <v>543</v>
      </c>
      <c r="M329" s="17"/>
      <c r="N329" s="17"/>
      <c r="O329" s="17">
        <f>VLOOKUP("NV",'[1]Raw Data'!$B$2:$O$102,6,FALSE)</f>
        <v>381</v>
      </c>
    </row>
    <row r="330" spans="1:15" ht="13.5" customHeight="1" x14ac:dyDescent="0.25">
      <c r="A330" s="13"/>
      <c r="B330" s="13" t="s">
        <v>10</v>
      </c>
      <c r="C330" s="13"/>
      <c r="D330" s="13"/>
      <c r="E330" s="13"/>
      <c r="F330" s="17">
        <f>VLOOKUP("NV",'[1]Raw Data'!$B$2:$O$102,7,FALSE)</f>
        <v>304</v>
      </c>
      <c r="G330" s="17"/>
      <c r="H330" s="17"/>
      <c r="I330" s="17">
        <f>VLOOKUP("NV",'[1]Raw Data'!$B$2:$O$102,8,FALSE)</f>
        <v>126</v>
      </c>
      <c r="J330" s="17"/>
      <c r="K330" s="17"/>
      <c r="L330" s="17">
        <f>VLOOKUP("NV",'[1]Raw Data'!$B$2:$O$102,9,FALSE)</f>
        <v>141</v>
      </c>
      <c r="M330" s="17"/>
      <c r="N330" s="17"/>
      <c r="O330" s="17">
        <f>VLOOKUP("NV",'[1]Raw Data'!$B$2:$O$102,10,FALSE)</f>
        <v>281</v>
      </c>
    </row>
    <row r="331" spans="1:15" ht="13.5" customHeight="1" x14ac:dyDescent="0.25">
      <c r="A331" s="13"/>
      <c r="B331" s="13" t="s">
        <v>11</v>
      </c>
      <c r="C331" s="13"/>
      <c r="D331" s="13"/>
      <c r="E331" s="13"/>
      <c r="F331" s="17">
        <f>VLOOKUP("NV",'[1]Raw Data'!$B$2:$O$102,11,FALSE)</f>
        <v>649</v>
      </c>
      <c r="G331" s="17"/>
      <c r="H331" s="17"/>
      <c r="I331" s="17">
        <f>VLOOKUP("NV",'[1]Raw Data'!$B$2:$O$102,12,FALSE)</f>
        <v>373</v>
      </c>
      <c r="J331" s="17"/>
      <c r="K331" s="17"/>
      <c r="L331" s="17">
        <f>VLOOKUP("NV",'[1]Raw Data'!$B$2:$O$102,13,FALSE)</f>
        <v>668</v>
      </c>
      <c r="M331" s="17"/>
      <c r="N331" s="17"/>
      <c r="O331" s="17">
        <f>VLOOKUP("NV",'[1]Raw Data'!$B$2:$O$102,14,FALSE)</f>
        <v>331</v>
      </c>
    </row>
    <row r="332" spans="1:15" ht="12" customHeight="1" x14ac:dyDescent="0.25"/>
    <row r="333" spans="1:15" ht="13.5" customHeight="1" x14ac:dyDescent="0.25">
      <c r="A333" s="13"/>
      <c r="B333" s="13"/>
      <c r="C333" s="18" t="str">
        <f>IF(VLOOKUP("TOT: NY, S/E/A",'[1]Raw Data'!$B$2:$O$102,2,FALSE)="CDO","TOT: NY, E/S"&amp;" "&amp;CHAR(178),"TOT: NY, E/S")</f>
        <v>TOT: NY, E/S ²</v>
      </c>
      <c r="D333" s="13"/>
      <c r="F333" s="15">
        <f>IF(SUM(F334:F336)-SUM(F338,F343)=0,SUM(F334:F336),999999999)</f>
        <v>2159</v>
      </c>
      <c r="G333" s="15"/>
      <c r="H333" s="15"/>
      <c r="I333" s="15">
        <f>IF(SUM(I334:I336)-SUM(I338,I343)=0,SUM(I334:I336),999999999)</f>
        <v>2011</v>
      </c>
      <c r="J333" s="15"/>
      <c r="K333" s="15"/>
      <c r="L333" s="15">
        <f>IF(SUM(L334:L336)-SUM(L338,L343)=0,SUM(L334:L336),999999999)</f>
        <v>1996</v>
      </c>
      <c r="M333" s="15"/>
      <c r="N333" s="15"/>
      <c r="O333" s="15">
        <f>IF(SUM(O334:O336)-SUM(O338,O343)=0,SUM(O334:O336),999999999)</f>
        <v>2164</v>
      </c>
    </row>
    <row r="334" spans="1:15" ht="13.5" customHeight="1" x14ac:dyDescent="0.25">
      <c r="A334" s="13"/>
      <c r="B334" s="13" t="s">
        <v>9</v>
      </c>
      <c r="C334" s="13"/>
      <c r="D334" s="13"/>
      <c r="E334" s="13"/>
      <c r="F334" s="17">
        <f>VLOOKUP("TOT: NY, S/E/A",'[1]Raw Data'!$B$2:$O$102,3,FALSE)</f>
        <v>949</v>
      </c>
      <c r="G334" s="17"/>
      <c r="H334" s="17"/>
      <c r="I334" s="17">
        <f>VLOOKUP("TOT: NY, S/E/A",'[1]Raw Data'!$B$2:$O$102,4,FALSE)</f>
        <v>862</v>
      </c>
      <c r="J334" s="17"/>
      <c r="K334" s="17"/>
      <c r="L334" s="17">
        <f>VLOOKUP("TOT: NY, S/E/A",'[1]Raw Data'!$B$2:$O$102,5,FALSE)</f>
        <v>867</v>
      </c>
      <c r="M334" s="17"/>
      <c r="N334" s="17"/>
      <c r="O334" s="17">
        <f>VLOOKUP("TOT: NY, S/E/A",'[1]Raw Data'!$B$2:$O$102,6,FALSE)</f>
        <v>937</v>
      </c>
    </row>
    <row r="335" spans="1:15" ht="13.5" customHeight="1" x14ac:dyDescent="0.25">
      <c r="A335" s="13"/>
      <c r="B335" s="13" t="s">
        <v>10</v>
      </c>
      <c r="C335" s="13"/>
      <c r="D335" s="13"/>
      <c r="E335" s="13"/>
      <c r="F335" s="17">
        <f>VLOOKUP("TOT: NY, S/E/A",'[1]Raw Data'!$B$2:$O$102,7,FALSE)</f>
        <v>631</v>
      </c>
      <c r="G335" s="17"/>
      <c r="H335" s="17"/>
      <c r="I335" s="17">
        <f>VLOOKUP("TOT: NY, S/E/A",'[1]Raw Data'!$B$2:$O$102,8,FALSE)</f>
        <v>122</v>
      </c>
      <c r="J335" s="17"/>
      <c r="K335" s="17"/>
      <c r="L335" s="17">
        <f>VLOOKUP("TOT: NY, S/E/A",'[1]Raw Data'!$B$2:$O$102,9,FALSE)</f>
        <v>177</v>
      </c>
      <c r="M335" s="17"/>
      <c r="N335" s="17"/>
      <c r="O335" s="17">
        <f>VLOOKUP("TOT: NY, S/E/A",'[1]Raw Data'!$B$2:$O$102,10,FALSE)</f>
        <v>570</v>
      </c>
    </row>
    <row r="336" spans="1:15" ht="13.5" customHeight="1" x14ac:dyDescent="0.25">
      <c r="A336" s="13"/>
      <c r="B336" s="13" t="s">
        <v>11</v>
      </c>
      <c r="C336" s="13"/>
      <c r="D336" s="13"/>
      <c r="E336" s="13"/>
      <c r="F336" s="17">
        <f>VLOOKUP("TOT: NY, S/E/A",'[1]Raw Data'!$B$2:$O$102,11,FALSE)</f>
        <v>579</v>
      </c>
      <c r="G336" s="17"/>
      <c r="H336" s="17"/>
      <c r="I336" s="17">
        <f>VLOOKUP("TOT: NY, S/E/A",'[1]Raw Data'!$B$2:$O$102,12,FALSE)</f>
        <v>1027</v>
      </c>
      <c r="J336" s="17"/>
      <c r="K336" s="17"/>
      <c r="L336" s="17">
        <f>VLOOKUP("TOT: NY, S/E/A",'[1]Raw Data'!$B$2:$O$102,13,FALSE)</f>
        <v>952</v>
      </c>
      <c r="M336" s="17"/>
      <c r="N336" s="17"/>
      <c r="O336" s="17">
        <f>VLOOKUP("TOT: NY, S/E/A",'[1]Raw Data'!$B$2:$O$102,14,FALSE)</f>
        <v>657</v>
      </c>
    </row>
    <row r="337" spans="1:15" ht="12" customHeight="1" x14ac:dyDescent="0.25"/>
    <row r="338" spans="1:15" ht="13.5" customHeight="1" x14ac:dyDescent="0.25">
      <c r="A338" s="13"/>
      <c r="B338" s="13"/>
      <c r="C338" s="18" t="str">
        <f>IF(VLOOKUP("   NY, E",'[1]Raw Data'!$B$2:$O$102,2,FALSE)="CDO","NY, E"&amp;" "&amp;CHAR(178),"NY, E")</f>
        <v>NY, E ²</v>
      </c>
      <c r="D338" s="13"/>
      <c r="F338" s="15">
        <f>SUM(F339:F341)</f>
        <v>1062</v>
      </c>
      <c r="G338" s="15"/>
      <c r="H338" s="15"/>
      <c r="I338" s="15">
        <f>SUM(I339:I341)</f>
        <v>843</v>
      </c>
      <c r="J338" s="15"/>
      <c r="K338" s="15"/>
      <c r="L338" s="15">
        <f>SUM(L339:L341)</f>
        <v>882</v>
      </c>
      <c r="M338" s="15"/>
      <c r="N338" s="15"/>
      <c r="O338" s="15">
        <f>SUM(O339:O341)</f>
        <v>1024</v>
      </c>
    </row>
    <row r="339" spans="1:15" ht="13.5" customHeight="1" x14ac:dyDescent="0.25">
      <c r="A339" s="13"/>
      <c r="B339" s="13" t="s">
        <v>9</v>
      </c>
      <c r="C339" s="13"/>
      <c r="D339" s="13"/>
      <c r="E339" s="13"/>
      <c r="F339" s="17">
        <f>VLOOKUP("   NY, E",'[1]Raw Data'!$B$2:$O$102,3,FALSE)</f>
        <v>559</v>
      </c>
      <c r="G339" s="17"/>
      <c r="H339" s="17"/>
      <c r="I339" s="17">
        <f>VLOOKUP("   NY, E",'[1]Raw Data'!$B$2:$O$102,4,FALSE)</f>
        <v>376</v>
      </c>
      <c r="J339" s="17"/>
      <c r="K339" s="17"/>
      <c r="L339" s="17">
        <f>VLOOKUP("   NY, E",'[1]Raw Data'!$B$2:$O$102,5,FALSE)</f>
        <v>392</v>
      </c>
      <c r="M339" s="17"/>
      <c r="N339" s="17"/>
      <c r="O339" s="17">
        <f>VLOOKUP("   NY, E",'[1]Raw Data'!$B$2:$O$102,6,FALSE)</f>
        <v>542</v>
      </c>
    </row>
    <row r="340" spans="1:15" ht="13.5" customHeight="1" x14ac:dyDescent="0.25">
      <c r="A340" s="13"/>
      <c r="B340" s="13" t="s">
        <v>10</v>
      </c>
      <c r="C340" s="13"/>
      <c r="D340" s="13"/>
      <c r="E340" s="13"/>
      <c r="F340" s="17">
        <f>VLOOKUP("   NY, E",'[1]Raw Data'!$B$2:$O$102,7,FALSE)</f>
        <v>173</v>
      </c>
      <c r="G340" s="17"/>
      <c r="H340" s="17"/>
      <c r="I340" s="17">
        <f>VLOOKUP("   NY, E",'[1]Raw Data'!$B$2:$O$102,8,FALSE)</f>
        <v>6</v>
      </c>
      <c r="J340" s="17"/>
      <c r="K340" s="17"/>
      <c r="L340" s="17">
        <f>VLOOKUP("   NY, E",'[1]Raw Data'!$B$2:$O$102,9,FALSE)</f>
        <v>24</v>
      </c>
      <c r="M340" s="17"/>
      <c r="N340" s="17"/>
      <c r="O340" s="17">
        <f>VLOOKUP("   NY, E",'[1]Raw Data'!$B$2:$O$102,10,FALSE)</f>
        <v>153</v>
      </c>
    </row>
    <row r="341" spans="1:15" ht="13.5" customHeight="1" x14ac:dyDescent="0.25">
      <c r="A341" s="13"/>
      <c r="B341" s="13" t="s">
        <v>11</v>
      </c>
      <c r="C341" s="13"/>
      <c r="D341" s="13"/>
      <c r="E341" s="13"/>
      <c r="F341" s="17">
        <f>VLOOKUP("   NY, E",'[1]Raw Data'!$B$2:$O$102,11,FALSE)</f>
        <v>330</v>
      </c>
      <c r="G341" s="17"/>
      <c r="H341" s="17"/>
      <c r="I341" s="17">
        <f>VLOOKUP("   NY, E",'[1]Raw Data'!$B$2:$O$102,12,FALSE)</f>
        <v>461</v>
      </c>
      <c r="J341" s="17"/>
      <c r="K341" s="17"/>
      <c r="L341" s="17">
        <f>VLOOKUP("   NY, E",'[1]Raw Data'!$B$2:$O$102,13,FALSE)</f>
        <v>466</v>
      </c>
      <c r="M341" s="17"/>
      <c r="N341" s="17"/>
      <c r="O341" s="17">
        <f>VLOOKUP("   NY, E",'[1]Raw Data'!$B$2:$O$102,14,FALSE)</f>
        <v>329</v>
      </c>
    </row>
    <row r="342" spans="1:15" ht="12" customHeight="1" x14ac:dyDescent="0.25"/>
    <row r="343" spans="1:15" ht="13.5" customHeight="1" x14ac:dyDescent="0.25">
      <c r="A343" s="13"/>
      <c r="B343" s="13"/>
      <c r="C343" s="18" t="str">
        <f>IF(VLOOKUP("   NY, S",'[1]Raw Data'!$B$2:$O$102,2,FALSE)="CDO","NY, S"&amp;" "&amp;CHAR(178),"NY, S")</f>
        <v>NY, S ²</v>
      </c>
      <c r="D343" s="13"/>
      <c r="F343" s="15">
        <f>SUM(F344:F346)</f>
        <v>1097</v>
      </c>
      <c r="G343" s="15"/>
      <c r="H343" s="15"/>
      <c r="I343" s="15">
        <f>SUM(I344:I346)</f>
        <v>1168</v>
      </c>
      <c r="J343" s="15"/>
      <c r="K343" s="15"/>
      <c r="L343" s="15">
        <f>SUM(L344:L346)</f>
        <v>1114</v>
      </c>
      <c r="M343" s="15"/>
      <c r="N343" s="15"/>
      <c r="O343" s="15">
        <f>SUM(O344:O346)</f>
        <v>1140</v>
      </c>
    </row>
    <row r="344" spans="1:15" ht="13.5" customHeight="1" x14ac:dyDescent="0.25">
      <c r="A344" s="13"/>
      <c r="B344" s="13" t="s">
        <v>9</v>
      </c>
      <c r="C344" s="13"/>
      <c r="D344" s="13"/>
      <c r="E344" s="13"/>
      <c r="F344" s="17">
        <f>VLOOKUP("   NY, S",'[1]Raw Data'!$B$2:$O$102,3,FALSE)+VLOOKUP("   NY, A",'[1]Raw Data'!$B$2:$O$102,3,FALSE)</f>
        <v>390</v>
      </c>
      <c r="G344" s="17"/>
      <c r="H344" s="17"/>
      <c r="I344" s="17">
        <f>VLOOKUP("   NY, S",'[1]Raw Data'!$B$2:$O$102,4,FALSE)+VLOOKUP("   NY, A",'[1]Raw Data'!$B$2:$O$102,4,FALSE)</f>
        <v>486</v>
      </c>
      <c r="J344" s="17"/>
      <c r="K344" s="17"/>
      <c r="L344" s="17">
        <f>VLOOKUP("   NY, S",'[1]Raw Data'!$B$2:$O$102,5,FALSE)+VLOOKUP("   NY, A",'[1]Raw Data'!$B$2:$O$102,5,FALSE)</f>
        <v>475</v>
      </c>
      <c r="M344" s="17"/>
      <c r="N344" s="17"/>
      <c r="O344" s="17">
        <f>VLOOKUP("   NY, S",'[1]Raw Data'!$B$2:$O$102,6,FALSE)+VLOOKUP("   NY, A",'[1]Raw Data'!$B$2:$O$102,6,FALSE)</f>
        <v>395</v>
      </c>
    </row>
    <row r="345" spans="1:15" ht="13.5" customHeight="1" x14ac:dyDescent="0.25">
      <c r="A345" s="13"/>
      <c r="B345" s="13" t="s">
        <v>10</v>
      </c>
      <c r="C345" s="13"/>
      <c r="D345" s="13"/>
      <c r="E345" s="13"/>
      <c r="F345" s="17">
        <f>VLOOKUP("   NY, S",'[1]Raw Data'!$B$2:$O$102,7,FALSE)+VLOOKUP("   NY, A",'[1]Raw Data'!$B$2:$O$102,7,FALSE)</f>
        <v>458</v>
      </c>
      <c r="G345" s="17"/>
      <c r="H345" s="17"/>
      <c r="I345" s="17">
        <f>VLOOKUP("   NY, S",'[1]Raw Data'!$B$2:$O$102,8,FALSE)+VLOOKUP("   NY, A",'[1]Raw Data'!$B$2:$O$102,8,FALSE)</f>
        <v>116</v>
      </c>
      <c r="J345" s="17"/>
      <c r="K345" s="17"/>
      <c r="L345" s="17">
        <f>VLOOKUP("   NY, S",'[1]Raw Data'!$B$2:$O$102,9,FALSE)+VLOOKUP("   NY, A",'[1]Raw Data'!$B$2:$O$102,9,FALSE)</f>
        <v>153</v>
      </c>
      <c r="M345" s="17"/>
      <c r="N345" s="17"/>
      <c r="O345" s="17">
        <f>VLOOKUP("   NY, S",'[1]Raw Data'!$B$2:$O$102,10,FALSE)+VLOOKUP("   NY, A",'[1]Raw Data'!$B$2:$O$102,10,FALSE)</f>
        <v>417</v>
      </c>
    </row>
    <row r="346" spans="1:15" ht="13.5" customHeight="1" x14ac:dyDescent="0.25">
      <c r="A346" s="13"/>
      <c r="B346" s="13" t="s">
        <v>11</v>
      </c>
      <c r="C346" s="13"/>
      <c r="D346" s="13"/>
      <c r="E346" s="13"/>
      <c r="F346" s="17">
        <f>VLOOKUP("   NY, S",'[1]Raw Data'!$B$2:$O$102,11,FALSE)+VLOOKUP("   NY, A",'[1]Raw Data'!$B$2:$O$102,11,FALSE)</f>
        <v>249</v>
      </c>
      <c r="G346" s="17"/>
      <c r="H346" s="17"/>
      <c r="I346" s="17">
        <f>VLOOKUP("   NY, S",'[1]Raw Data'!$B$2:$O$102,12,FALSE)+VLOOKUP("   NY, A",'[1]Raw Data'!$B$2:$O$102,12,FALSE)</f>
        <v>566</v>
      </c>
      <c r="J346" s="17"/>
      <c r="K346" s="17"/>
      <c r="L346" s="17">
        <f>VLOOKUP("   NY, S",'[1]Raw Data'!$B$2:$O$102,13,FALSE)+VLOOKUP("   NY, A",'[1]Raw Data'!$B$2:$O$102,13,FALSE)</f>
        <v>486</v>
      </c>
      <c r="M346" s="17"/>
      <c r="N346" s="17"/>
      <c r="O346" s="17">
        <f>VLOOKUP("   NY, S",'[1]Raw Data'!$B$2:$O$102,14,FALSE)+VLOOKUP("   NY, A",'[1]Raw Data'!$B$2:$O$102,14,FALSE)</f>
        <v>328</v>
      </c>
    </row>
    <row r="347" spans="1:15" ht="12" customHeight="1" x14ac:dyDescent="0.25"/>
    <row r="348" spans="1:15" ht="13.5" customHeight="1" x14ac:dyDescent="0.25">
      <c r="A348" s="13"/>
      <c r="B348" s="13"/>
      <c r="C348" s="18" t="str">
        <f>IF(VLOOKUP("NY, N",'[1]Raw Data'!$B$2:$O$102,2,FALSE)="CDO","NY, N"&amp;" "&amp;CHAR(178),"NY, N")</f>
        <v>NY, N</v>
      </c>
      <c r="D348" s="13"/>
      <c r="F348" s="15">
        <f>SUM(F349:F351)</f>
        <v>303</v>
      </c>
      <c r="G348" s="15"/>
      <c r="H348" s="15"/>
      <c r="I348" s="15">
        <f>SUM(I349:I351)</f>
        <v>479</v>
      </c>
      <c r="J348" s="15"/>
      <c r="K348" s="15"/>
      <c r="L348" s="15">
        <f>SUM(L349:L351)</f>
        <v>500</v>
      </c>
      <c r="M348" s="15"/>
      <c r="N348" s="15"/>
      <c r="O348" s="15">
        <f>SUM(O349:O351)</f>
        <v>280</v>
      </c>
    </row>
    <row r="349" spans="1:15" ht="13.5" customHeight="1" x14ac:dyDescent="0.25">
      <c r="A349" s="13"/>
      <c r="B349" s="13" t="s">
        <v>9</v>
      </c>
      <c r="C349" s="13"/>
      <c r="D349" s="13"/>
      <c r="E349" s="13"/>
      <c r="F349" s="17">
        <f>VLOOKUP("NY, N",'[1]Raw Data'!$B$2:$O$102,3,FALSE)</f>
        <v>159</v>
      </c>
      <c r="G349" s="17"/>
      <c r="H349" s="17"/>
      <c r="I349" s="17">
        <f>VLOOKUP("NY, N",'[1]Raw Data'!$B$2:$O$102,4,FALSE)</f>
        <v>237</v>
      </c>
      <c r="J349" s="17"/>
      <c r="K349" s="17"/>
      <c r="L349" s="17">
        <f>VLOOKUP("NY, N",'[1]Raw Data'!$B$2:$O$102,5,FALSE)</f>
        <v>236</v>
      </c>
      <c r="M349" s="17"/>
      <c r="N349" s="17"/>
      <c r="O349" s="17">
        <f>VLOOKUP("NY, N",'[1]Raw Data'!$B$2:$O$102,6,FALSE)</f>
        <v>158</v>
      </c>
    </row>
    <row r="350" spans="1:15" ht="13.5" customHeight="1" x14ac:dyDescent="0.25">
      <c r="A350" s="13"/>
      <c r="B350" s="13" t="s">
        <v>10</v>
      </c>
      <c r="C350" s="13"/>
      <c r="D350" s="13"/>
      <c r="E350" s="13"/>
      <c r="F350" s="17">
        <f>VLOOKUP("NY, N",'[1]Raw Data'!$B$2:$O$102,7,FALSE)</f>
        <v>80</v>
      </c>
      <c r="G350" s="17"/>
      <c r="H350" s="17"/>
      <c r="I350" s="17">
        <f>VLOOKUP("NY, N",'[1]Raw Data'!$B$2:$O$102,8,FALSE)</f>
        <v>37</v>
      </c>
      <c r="J350" s="17"/>
      <c r="K350" s="17"/>
      <c r="L350" s="17">
        <f>VLOOKUP("NY, N",'[1]Raw Data'!$B$2:$O$102,9,FALSE)</f>
        <v>54</v>
      </c>
      <c r="M350" s="17"/>
      <c r="N350" s="17"/>
      <c r="O350" s="17">
        <f>VLOOKUP("NY, N",'[1]Raw Data'!$B$2:$O$102,10,FALSE)</f>
        <v>63</v>
      </c>
    </row>
    <row r="351" spans="1:15" ht="13.5" customHeight="1" x14ac:dyDescent="0.25">
      <c r="A351" s="13"/>
      <c r="B351" s="13" t="s">
        <v>11</v>
      </c>
      <c r="C351" s="13"/>
      <c r="D351" s="13"/>
      <c r="E351" s="13"/>
      <c r="F351" s="17">
        <f>VLOOKUP("NY, N",'[1]Raw Data'!$B$2:$O$102,11,FALSE)</f>
        <v>64</v>
      </c>
      <c r="G351" s="17"/>
      <c r="H351" s="17"/>
      <c r="I351" s="17">
        <f>VLOOKUP("NY, N",'[1]Raw Data'!$B$2:$O$102,12,FALSE)</f>
        <v>205</v>
      </c>
      <c r="J351" s="17"/>
      <c r="K351" s="17"/>
      <c r="L351" s="17">
        <f>VLOOKUP("NY, N",'[1]Raw Data'!$B$2:$O$102,13,FALSE)</f>
        <v>210</v>
      </c>
      <c r="M351" s="17"/>
      <c r="N351" s="17"/>
      <c r="O351" s="17">
        <f>VLOOKUP("NY, N",'[1]Raw Data'!$B$2:$O$102,14,FALSE)</f>
        <v>59</v>
      </c>
    </row>
    <row r="352" spans="1:15" ht="12" customHeight="1" x14ac:dyDescent="0.25"/>
    <row r="353" spans="1:15" ht="13.5" customHeight="1" x14ac:dyDescent="0.25">
      <c r="A353" s="13"/>
      <c r="B353" s="13"/>
      <c r="C353" s="18" t="str">
        <f>IF(VLOOKUP("NY, W",'[1]Raw Data'!$B$2:$O$102,2,FALSE)="CDO","NY, W"&amp;" "&amp;CHAR(178),"NY, W")</f>
        <v>NY, W</v>
      </c>
      <c r="D353" s="13"/>
      <c r="F353" s="15">
        <f>SUM(F354:F356)</f>
        <v>421</v>
      </c>
      <c r="G353" s="15"/>
      <c r="H353" s="15"/>
      <c r="I353" s="15">
        <f>SUM(I354:I356)</f>
        <v>646</v>
      </c>
      <c r="J353" s="15"/>
      <c r="K353" s="15"/>
      <c r="L353" s="15">
        <f>SUM(L354:L356)</f>
        <v>708</v>
      </c>
      <c r="M353" s="15"/>
      <c r="N353" s="15"/>
      <c r="O353" s="15">
        <f>SUM(O354:O356)</f>
        <v>359</v>
      </c>
    </row>
    <row r="354" spans="1:15" ht="13.5" customHeight="1" x14ac:dyDescent="0.25">
      <c r="A354" s="13"/>
      <c r="B354" s="13" t="s">
        <v>9</v>
      </c>
      <c r="C354" s="13"/>
      <c r="D354" s="13"/>
      <c r="E354" s="13"/>
      <c r="F354" s="17">
        <f>VLOOKUP("NY, W",'[1]Raw Data'!$B$2:$O$102,3,FALSE)</f>
        <v>231</v>
      </c>
      <c r="G354" s="17"/>
      <c r="H354" s="17"/>
      <c r="I354" s="17">
        <f>VLOOKUP("NY, W",'[1]Raw Data'!$B$2:$O$102,4,FALSE)</f>
        <v>287</v>
      </c>
      <c r="J354" s="17"/>
      <c r="K354" s="17"/>
      <c r="L354" s="17">
        <f>VLOOKUP("NY, W",'[1]Raw Data'!$B$2:$O$102,5,FALSE)</f>
        <v>290</v>
      </c>
      <c r="M354" s="17"/>
      <c r="N354" s="17"/>
      <c r="O354" s="17">
        <f>VLOOKUP("NY, W",'[1]Raw Data'!$B$2:$O$102,6,FALSE)</f>
        <v>228</v>
      </c>
    </row>
    <row r="355" spans="1:15" ht="13.5" customHeight="1" x14ac:dyDescent="0.25">
      <c r="A355" s="13"/>
      <c r="B355" s="13" t="s">
        <v>10</v>
      </c>
      <c r="C355" s="13"/>
      <c r="D355" s="13"/>
      <c r="E355" s="13"/>
      <c r="F355" s="17">
        <f>VLOOKUP("NY, W",'[1]Raw Data'!$B$2:$O$102,7,FALSE)</f>
        <v>90</v>
      </c>
      <c r="G355" s="17"/>
      <c r="H355" s="17"/>
      <c r="I355" s="17">
        <f>VLOOKUP("NY, W",'[1]Raw Data'!$B$2:$O$102,8,FALSE)</f>
        <v>25</v>
      </c>
      <c r="J355" s="17"/>
      <c r="K355" s="17"/>
      <c r="L355" s="17">
        <f>VLOOKUP("NY, W",'[1]Raw Data'!$B$2:$O$102,9,FALSE)</f>
        <v>82</v>
      </c>
      <c r="M355" s="17"/>
      <c r="N355" s="17"/>
      <c r="O355" s="17">
        <f>VLOOKUP("NY, W",'[1]Raw Data'!$B$2:$O$102,10,FALSE)</f>
        <v>33</v>
      </c>
    </row>
    <row r="356" spans="1:15" ht="13.5" customHeight="1" x14ac:dyDescent="0.25">
      <c r="A356" s="13"/>
      <c r="B356" s="13" t="s">
        <v>11</v>
      </c>
      <c r="C356" s="13"/>
      <c r="D356" s="13"/>
      <c r="E356" s="13"/>
      <c r="F356" s="17">
        <f>VLOOKUP("NY, W",'[1]Raw Data'!$B$2:$O$102,11,FALSE)</f>
        <v>100</v>
      </c>
      <c r="G356" s="17"/>
      <c r="H356" s="17"/>
      <c r="I356" s="17">
        <f>VLOOKUP("NY, W",'[1]Raw Data'!$B$2:$O$102,12,FALSE)</f>
        <v>334</v>
      </c>
      <c r="J356" s="17"/>
      <c r="K356" s="17"/>
      <c r="L356" s="17">
        <f>VLOOKUP("NY, W",'[1]Raw Data'!$B$2:$O$102,13,FALSE)</f>
        <v>336</v>
      </c>
      <c r="M356" s="17"/>
      <c r="N356" s="17"/>
      <c r="O356" s="17">
        <f>VLOOKUP("NY, W",'[1]Raw Data'!$B$2:$O$102,14,FALSE)</f>
        <v>98</v>
      </c>
    </row>
    <row r="357" spans="1:15" ht="12" customHeight="1" x14ac:dyDescent="0.25"/>
    <row r="358" spans="1:15" ht="13.5" customHeight="1" x14ac:dyDescent="0.25">
      <c r="A358" s="13"/>
      <c r="B358" s="13"/>
      <c r="C358" s="18" t="str">
        <f>IF(VLOOKUP("OH, N",'[1]Raw Data'!$B$2:$O$102,2,FALSE)="CDO","OH, N"&amp;" "&amp;CHAR(178),"OH, N")</f>
        <v>OH, N</v>
      </c>
      <c r="D358" s="13"/>
      <c r="F358" s="15">
        <f>SUM(F359:F361)</f>
        <v>477</v>
      </c>
      <c r="G358" s="15"/>
      <c r="H358" s="15"/>
      <c r="I358" s="15">
        <f>SUM(I359:I361)</f>
        <v>641</v>
      </c>
      <c r="J358" s="15"/>
      <c r="K358" s="15"/>
      <c r="L358" s="15">
        <f>SUM(L359:L361)</f>
        <v>757</v>
      </c>
      <c r="M358" s="15"/>
      <c r="N358" s="15"/>
      <c r="O358" s="15">
        <f>SUM(O359:O361)</f>
        <v>361</v>
      </c>
    </row>
    <row r="359" spans="1:15" ht="13.5" customHeight="1" x14ac:dyDescent="0.25">
      <c r="A359" s="13"/>
      <c r="B359" s="13" t="s">
        <v>9</v>
      </c>
      <c r="C359" s="13"/>
      <c r="D359" s="13"/>
      <c r="E359" s="13"/>
      <c r="F359" s="17">
        <f>VLOOKUP("OH, N",'[1]Raw Data'!$B$2:$O$102,3,FALSE)</f>
        <v>128</v>
      </c>
      <c r="G359" s="17"/>
      <c r="H359" s="17"/>
      <c r="I359" s="17">
        <f>VLOOKUP("OH, N",'[1]Raw Data'!$B$2:$O$102,4,FALSE)</f>
        <v>230</v>
      </c>
      <c r="J359" s="17"/>
      <c r="K359" s="17"/>
      <c r="L359" s="17">
        <f>VLOOKUP("OH, N",'[1]Raw Data'!$B$2:$O$102,5,FALSE)</f>
        <v>222</v>
      </c>
      <c r="M359" s="17"/>
      <c r="N359" s="17"/>
      <c r="O359" s="17">
        <f>VLOOKUP("OH, N",'[1]Raw Data'!$B$2:$O$102,6,FALSE)</f>
        <v>138</v>
      </c>
    </row>
    <row r="360" spans="1:15" ht="13.5" customHeight="1" x14ac:dyDescent="0.25">
      <c r="A360" s="13"/>
      <c r="B360" s="13" t="s">
        <v>10</v>
      </c>
      <c r="C360" s="13"/>
      <c r="D360" s="13"/>
      <c r="E360" s="13"/>
      <c r="F360" s="17">
        <f>VLOOKUP("OH, N",'[1]Raw Data'!$B$2:$O$102,7,FALSE)</f>
        <v>155</v>
      </c>
      <c r="G360" s="17"/>
      <c r="H360" s="17"/>
      <c r="I360" s="17">
        <f>VLOOKUP("OH, N",'[1]Raw Data'!$B$2:$O$102,8,FALSE)</f>
        <v>94</v>
      </c>
      <c r="J360" s="17"/>
      <c r="K360" s="17"/>
      <c r="L360" s="17">
        <f>VLOOKUP("OH, N",'[1]Raw Data'!$B$2:$O$102,9,FALSE)</f>
        <v>171</v>
      </c>
      <c r="M360" s="17"/>
      <c r="N360" s="17"/>
      <c r="O360" s="17">
        <f>VLOOKUP("OH, N",'[1]Raw Data'!$B$2:$O$102,10,FALSE)</f>
        <v>78</v>
      </c>
    </row>
    <row r="361" spans="1:15" ht="13.5" customHeight="1" x14ac:dyDescent="0.25">
      <c r="A361" s="13"/>
      <c r="B361" s="13" t="s">
        <v>11</v>
      </c>
      <c r="C361" s="13"/>
      <c r="D361" s="13"/>
      <c r="E361" s="13"/>
      <c r="F361" s="17">
        <f>VLOOKUP("OH, N",'[1]Raw Data'!$B$2:$O$102,11,FALSE)</f>
        <v>194</v>
      </c>
      <c r="G361" s="17"/>
      <c r="H361" s="17"/>
      <c r="I361" s="17">
        <f>VLOOKUP("OH, N",'[1]Raw Data'!$B$2:$O$102,12,FALSE)</f>
        <v>317</v>
      </c>
      <c r="J361" s="17"/>
      <c r="K361" s="17"/>
      <c r="L361" s="17">
        <f>VLOOKUP("OH, N",'[1]Raw Data'!$B$2:$O$102,13,FALSE)</f>
        <v>364</v>
      </c>
      <c r="M361" s="17"/>
      <c r="N361" s="17"/>
      <c r="O361" s="17">
        <f>VLOOKUP("OH, N",'[1]Raw Data'!$B$2:$O$102,14,FALSE)</f>
        <v>145</v>
      </c>
    </row>
    <row r="362" spans="1:15" ht="12" customHeight="1" x14ac:dyDescent="0.25"/>
    <row r="363" spans="1:15" ht="13.5" customHeight="1" x14ac:dyDescent="0.25">
      <c r="A363" s="13"/>
      <c r="B363" s="13"/>
      <c r="C363" s="18" t="str">
        <f>IF(VLOOKUP("OH, S",'[1]Raw Data'!$B$2:$O$102,2,FALSE)="CDO","OH, S"&amp;" "&amp;CHAR(178),"OH, S")</f>
        <v>OH, S</v>
      </c>
      <c r="D363" s="13"/>
      <c r="F363" s="15">
        <f>SUM(F364:F366)</f>
        <v>509</v>
      </c>
      <c r="G363" s="15"/>
      <c r="H363" s="15"/>
      <c r="I363" s="15">
        <f>SUM(I364:I366)</f>
        <v>742</v>
      </c>
      <c r="J363" s="15"/>
      <c r="K363" s="15"/>
      <c r="L363" s="15">
        <f>SUM(L364:L366)</f>
        <v>728</v>
      </c>
      <c r="M363" s="15"/>
      <c r="N363" s="15"/>
      <c r="O363" s="15">
        <f>SUM(O364:O366)</f>
        <v>522</v>
      </c>
    </row>
    <row r="364" spans="1:15" ht="13.5" customHeight="1" x14ac:dyDescent="0.25">
      <c r="A364" s="13"/>
      <c r="B364" s="13" t="s">
        <v>9</v>
      </c>
      <c r="C364" s="13"/>
      <c r="D364" s="13"/>
      <c r="E364" s="13"/>
      <c r="F364" s="17">
        <f>VLOOKUP("OH, S",'[1]Raw Data'!$B$2:$O$102,3,FALSE)</f>
        <v>262</v>
      </c>
      <c r="G364" s="17"/>
      <c r="H364" s="17"/>
      <c r="I364" s="17">
        <f>VLOOKUP("OH, S",'[1]Raw Data'!$B$2:$O$102,4,FALSE)</f>
        <v>474</v>
      </c>
      <c r="J364" s="17"/>
      <c r="K364" s="17"/>
      <c r="L364" s="17">
        <f>VLOOKUP("OH, S",'[1]Raw Data'!$B$2:$O$102,5,FALSE)</f>
        <v>437</v>
      </c>
      <c r="M364" s="17"/>
      <c r="N364" s="17"/>
      <c r="O364" s="17">
        <f>VLOOKUP("OH, S",'[1]Raw Data'!$B$2:$O$102,6,FALSE)</f>
        <v>298</v>
      </c>
    </row>
    <row r="365" spans="1:15" ht="13.5" customHeight="1" x14ac:dyDescent="0.25">
      <c r="A365" s="13"/>
      <c r="B365" s="13" t="s">
        <v>10</v>
      </c>
      <c r="C365" s="13"/>
      <c r="D365" s="13"/>
      <c r="E365" s="13"/>
      <c r="F365" s="17">
        <f>VLOOKUP("OH, S",'[1]Raw Data'!$B$2:$O$102,7,FALSE)</f>
        <v>80</v>
      </c>
      <c r="G365" s="17"/>
      <c r="H365" s="17"/>
      <c r="I365" s="17">
        <f>VLOOKUP("OH, S",'[1]Raw Data'!$B$2:$O$102,8,FALSE)</f>
        <v>54</v>
      </c>
      <c r="J365" s="17"/>
      <c r="K365" s="17"/>
      <c r="L365" s="17">
        <f>VLOOKUP("OH, S",'[1]Raw Data'!$B$2:$O$102,9,FALSE)</f>
        <v>88</v>
      </c>
      <c r="M365" s="17"/>
      <c r="N365" s="17"/>
      <c r="O365" s="17">
        <f>VLOOKUP("OH, S",'[1]Raw Data'!$B$2:$O$102,10,FALSE)</f>
        <v>46</v>
      </c>
    </row>
    <row r="366" spans="1:15" ht="13.5" customHeight="1" x14ac:dyDescent="0.25">
      <c r="A366" s="13"/>
      <c r="B366" s="13" t="s">
        <v>11</v>
      </c>
      <c r="C366" s="13"/>
      <c r="D366" s="13"/>
      <c r="E366" s="13"/>
      <c r="F366" s="17">
        <f>VLOOKUP("OH, S",'[1]Raw Data'!$B$2:$O$102,11,FALSE)</f>
        <v>167</v>
      </c>
      <c r="G366" s="17"/>
      <c r="H366" s="17"/>
      <c r="I366" s="17">
        <f>VLOOKUP("OH, S",'[1]Raw Data'!$B$2:$O$102,12,FALSE)</f>
        <v>214</v>
      </c>
      <c r="J366" s="17"/>
      <c r="K366" s="17"/>
      <c r="L366" s="17">
        <f>VLOOKUP("OH, S",'[1]Raw Data'!$B$2:$O$102,13,FALSE)</f>
        <v>203</v>
      </c>
      <c r="M366" s="17"/>
      <c r="N366" s="17"/>
      <c r="O366" s="17">
        <f>VLOOKUP("OH, S",'[1]Raw Data'!$B$2:$O$102,14,FALSE)</f>
        <v>178</v>
      </c>
    </row>
    <row r="367" spans="1:15" ht="12" customHeight="1" x14ac:dyDescent="0.25"/>
    <row r="368" spans="1:15" ht="13.5" customHeight="1" x14ac:dyDescent="0.25">
      <c r="A368" s="13"/>
      <c r="B368" s="13"/>
      <c r="C368" s="18" t="str">
        <f>IF(VLOOKUP("TOT: OK, N/E",'[1]Raw Data'!$B$2:$O$102,2,FALSE)="CDO","TOT: OK, E/N"&amp;" "&amp;CHAR(178),"TOT: OK, E/N")</f>
        <v>TOT: OK, E/N</v>
      </c>
      <c r="D368" s="13"/>
      <c r="F368" s="15">
        <f>IF(SUM(F369:F371)-SUM(F373,F378)=0,SUM(F369:F371),999999999)</f>
        <v>280</v>
      </c>
      <c r="G368" s="15"/>
      <c r="H368" s="15"/>
      <c r="I368" s="15">
        <f>IF(SUM(I369:I371)-SUM(I373,I378)=0,SUM(I369:I371),999999999)</f>
        <v>369</v>
      </c>
      <c r="J368" s="15"/>
      <c r="K368" s="15"/>
      <c r="L368" s="15">
        <f>IF(SUM(L369:L371)-SUM(L373,L378)=0,SUM(L369:L371),999999999)</f>
        <v>490</v>
      </c>
      <c r="M368" s="15"/>
      <c r="N368" s="15"/>
      <c r="O368" s="15">
        <f>IF(SUM(O369:O371)-SUM(O373,O378)=0,SUM(O369:O371),999999999)</f>
        <v>159</v>
      </c>
    </row>
    <row r="369" spans="1:15" ht="13.5" customHeight="1" x14ac:dyDescent="0.25">
      <c r="A369" s="13"/>
      <c r="B369" s="13" t="s">
        <v>9</v>
      </c>
      <c r="C369" s="13"/>
      <c r="D369" s="13"/>
      <c r="E369" s="13"/>
      <c r="F369" s="17">
        <f>VLOOKUP("TOT: OK, N/E",'[1]Raw Data'!$B$2:$O$102,3,FALSE)</f>
        <v>99</v>
      </c>
      <c r="G369" s="17"/>
      <c r="H369" s="17"/>
      <c r="I369" s="17">
        <f>VLOOKUP("TOT: OK, N/E",'[1]Raw Data'!$B$2:$O$102,4,FALSE)</f>
        <v>157</v>
      </c>
      <c r="J369" s="17"/>
      <c r="K369" s="17"/>
      <c r="L369" s="17">
        <f>VLOOKUP("TOT: OK, N/E",'[1]Raw Data'!$B$2:$O$102,5,FALSE)</f>
        <v>181</v>
      </c>
      <c r="M369" s="17"/>
      <c r="N369" s="17"/>
      <c r="O369" s="17">
        <f>VLOOKUP("TOT: OK, N/E",'[1]Raw Data'!$B$2:$O$102,6,FALSE)</f>
        <v>75</v>
      </c>
    </row>
    <row r="370" spans="1:15" ht="13.5" customHeight="1" x14ac:dyDescent="0.25">
      <c r="A370" s="13"/>
      <c r="B370" s="13" t="s">
        <v>10</v>
      </c>
      <c r="C370" s="13"/>
      <c r="D370" s="13"/>
      <c r="E370" s="13"/>
      <c r="F370" s="17">
        <f>VLOOKUP("TOT: OK, N/E",'[1]Raw Data'!$B$2:$O$102,7,FALSE)</f>
        <v>47</v>
      </c>
      <c r="G370" s="17"/>
      <c r="H370" s="17"/>
      <c r="I370" s="17">
        <f>VLOOKUP("TOT: OK, N/E",'[1]Raw Data'!$B$2:$O$102,8,FALSE)</f>
        <v>26</v>
      </c>
      <c r="J370" s="17"/>
      <c r="K370" s="17"/>
      <c r="L370" s="17">
        <f>VLOOKUP("TOT: OK, N/E",'[1]Raw Data'!$B$2:$O$102,9,FALSE)</f>
        <v>36</v>
      </c>
      <c r="M370" s="17"/>
      <c r="N370" s="17"/>
      <c r="O370" s="17">
        <f>VLOOKUP("TOT: OK, N/E",'[1]Raw Data'!$B$2:$O$102,10,FALSE)</f>
        <v>37</v>
      </c>
    </row>
    <row r="371" spans="1:15" ht="13.5" customHeight="1" x14ac:dyDescent="0.25">
      <c r="A371" s="13"/>
      <c r="B371" s="13" t="s">
        <v>11</v>
      </c>
      <c r="C371" s="13"/>
      <c r="D371" s="13"/>
      <c r="E371" s="13"/>
      <c r="F371" s="17">
        <f>VLOOKUP("TOT: OK, N/E",'[1]Raw Data'!$B$2:$O$102,11,FALSE)</f>
        <v>134</v>
      </c>
      <c r="G371" s="17"/>
      <c r="H371" s="17"/>
      <c r="I371" s="17">
        <f>VLOOKUP("TOT: OK, N/E",'[1]Raw Data'!$B$2:$O$102,12,FALSE)</f>
        <v>186</v>
      </c>
      <c r="J371" s="17"/>
      <c r="K371" s="17"/>
      <c r="L371" s="17">
        <f>VLOOKUP("TOT: OK, N/E",'[1]Raw Data'!$B$2:$O$102,13,FALSE)</f>
        <v>273</v>
      </c>
      <c r="M371" s="17"/>
      <c r="N371" s="17"/>
      <c r="O371" s="17">
        <f>VLOOKUP("TOT: OK, N/E",'[1]Raw Data'!$B$2:$O$102,14,FALSE)</f>
        <v>47</v>
      </c>
    </row>
    <row r="372" spans="1:15" ht="12" customHeight="1" x14ac:dyDescent="0.25"/>
    <row r="373" spans="1:15" ht="13.5" customHeight="1" x14ac:dyDescent="0.25">
      <c r="A373" s="13"/>
      <c r="B373" s="13"/>
      <c r="C373" s="18" t="str">
        <f>IF(VLOOKUP("   OK, E",'[1]Raw Data'!$B$2:$O$102,2,FALSE)="CDO","OK, E"&amp;" "&amp;CHAR(178),"OK, E")</f>
        <v>OK, E</v>
      </c>
      <c r="D373" s="13"/>
      <c r="F373" s="15">
        <f>SUM(F374:F376)</f>
        <v>143</v>
      </c>
      <c r="G373" s="15"/>
      <c r="H373" s="15"/>
      <c r="I373" s="15">
        <f>SUM(I374:I376)</f>
        <v>134</v>
      </c>
      <c r="J373" s="15"/>
      <c r="K373" s="15"/>
      <c r="L373" s="15">
        <f>SUM(L374:L376)</f>
        <v>216</v>
      </c>
      <c r="M373" s="15"/>
      <c r="N373" s="15"/>
      <c r="O373" s="15">
        <f>SUM(O374:O376)</f>
        <v>61</v>
      </c>
    </row>
    <row r="374" spans="1:15" ht="13.5" customHeight="1" x14ac:dyDescent="0.25">
      <c r="A374" s="13"/>
      <c r="B374" s="13" t="s">
        <v>9</v>
      </c>
      <c r="C374" s="13"/>
      <c r="D374" s="13"/>
      <c r="E374" s="13"/>
      <c r="F374" s="17">
        <f>VLOOKUP("   OK, E",'[1]Raw Data'!$B$2:$O$102,3,FALSE)</f>
        <v>37</v>
      </c>
      <c r="G374" s="17"/>
      <c r="H374" s="17"/>
      <c r="I374" s="17">
        <f>VLOOKUP("   OK, E",'[1]Raw Data'!$B$2:$O$102,4,FALSE)</f>
        <v>59</v>
      </c>
      <c r="J374" s="17"/>
      <c r="K374" s="17"/>
      <c r="L374" s="17">
        <f>VLOOKUP("   OK, E",'[1]Raw Data'!$B$2:$O$102,5,FALSE)</f>
        <v>64</v>
      </c>
      <c r="M374" s="17"/>
      <c r="N374" s="17"/>
      <c r="O374" s="17">
        <f>VLOOKUP("   OK, E",'[1]Raw Data'!$B$2:$O$102,6,FALSE)</f>
        <v>32</v>
      </c>
    </row>
    <row r="375" spans="1:15" ht="13.5" customHeight="1" x14ac:dyDescent="0.25">
      <c r="A375" s="13"/>
      <c r="B375" s="13" t="s">
        <v>10</v>
      </c>
      <c r="C375" s="13"/>
      <c r="D375" s="13"/>
      <c r="E375" s="13"/>
      <c r="F375" s="17">
        <f>VLOOKUP("   OK, E",'[1]Raw Data'!$B$2:$O$102,7,FALSE)</f>
        <v>20</v>
      </c>
      <c r="G375" s="17"/>
      <c r="H375" s="17"/>
      <c r="I375" s="17">
        <f>VLOOKUP("   OK, E",'[1]Raw Data'!$B$2:$O$102,8,FALSE)</f>
        <v>15</v>
      </c>
      <c r="J375" s="17"/>
      <c r="K375" s="17"/>
      <c r="L375" s="17">
        <f>VLOOKUP("   OK, E",'[1]Raw Data'!$B$2:$O$102,9,FALSE)</f>
        <v>16</v>
      </c>
      <c r="M375" s="17"/>
      <c r="N375" s="17"/>
      <c r="O375" s="17">
        <f>VLOOKUP("   OK, E",'[1]Raw Data'!$B$2:$O$102,10,FALSE)</f>
        <v>19</v>
      </c>
    </row>
    <row r="376" spans="1:15" ht="13.5" customHeight="1" x14ac:dyDescent="0.25">
      <c r="A376" s="13"/>
      <c r="B376" s="13" t="s">
        <v>11</v>
      </c>
      <c r="C376" s="13"/>
      <c r="D376" s="13"/>
      <c r="E376" s="13"/>
      <c r="F376" s="17">
        <f>VLOOKUP("   OK, E",'[1]Raw Data'!$B$2:$O$102,11,FALSE)</f>
        <v>86</v>
      </c>
      <c r="G376" s="17"/>
      <c r="H376" s="17"/>
      <c r="I376" s="17">
        <f>VLOOKUP("   OK, E",'[1]Raw Data'!$B$2:$O$102,12,FALSE)</f>
        <v>60</v>
      </c>
      <c r="J376" s="17"/>
      <c r="K376" s="17"/>
      <c r="L376" s="17">
        <f>VLOOKUP("   OK, E",'[1]Raw Data'!$B$2:$O$102,13,FALSE)</f>
        <v>136</v>
      </c>
      <c r="M376" s="17"/>
      <c r="N376" s="17"/>
      <c r="O376" s="17">
        <f>VLOOKUP("   OK, E",'[1]Raw Data'!$B$2:$O$102,14,FALSE)</f>
        <v>10</v>
      </c>
    </row>
    <row r="377" spans="1:15" ht="12" customHeight="1" x14ac:dyDescent="0.25"/>
    <row r="378" spans="1:15" ht="13.5" customHeight="1" x14ac:dyDescent="0.25">
      <c r="A378" s="13"/>
      <c r="B378" s="13"/>
      <c r="C378" s="18" t="str">
        <f>IF(VLOOKUP("   OK, N",'[1]Raw Data'!$B$2:$O$102,2,FALSE)="CDO","OK, N"&amp;" "&amp;CHAR(178),"OK, N")</f>
        <v>OK, N</v>
      </c>
      <c r="D378" s="13"/>
      <c r="F378" s="15">
        <f>SUM(F379:F381)</f>
        <v>137</v>
      </c>
      <c r="G378" s="15"/>
      <c r="H378" s="15"/>
      <c r="I378" s="15">
        <f>SUM(I379:I381)</f>
        <v>235</v>
      </c>
      <c r="J378" s="15"/>
      <c r="K378" s="15"/>
      <c r="L378" s="15">
        <f>SUM(L379:L381)</f>
        <v>274</v>
      </c>
      <c r="M378" s="15"/>
      <c r="N378" s="15"/>
      <c r="O378" s="15">
        <f>SUM(O379:O381)</f>
        <v>98</v>
      </c>
    </row>
    <row r="379" spans="1:15" ht="13.5" customHeight="1" x14ac:dyDescent="0.25">
      <c r="A379" s="13"/>
      <c r="B379" s="13" t="s">
        <v>9</v>
      </c>
      <c r="C379" s="13"/>
      <c r="D379" s="13"/>
      <c r="E379" s="13"/>
      <c r="F379" s="17">
        <f>VLOOKUP("   OK, N",'[1]Raw Data'!$B$2:$O$102,3,FALSE)</f>
        <v>62</v>
      </c>
      <c r="G379" s="17"/>
      <c r="H379" s="17"/>
      <c r="I379" s="17">
        <f>VLOOKUP("   OK, N",'[1]Raw Data'!$B$2:$O$102,4,FALSE)</f>
        <v>98</v>
      </c>
      <c r="J379" s="17"/>
      <c r="K379" s="17"/>
      <c r="L379" s="17">
        <f>VLOOKUP("   OK, N",'[1]Raw Data'!$B$2:$O$102,5,FALSE)</f>
        <v>117</v>
      </c>
      <c r="M379" s="17"/>
      <c r="N379" s="17"/>
      <c r="O379" s="17">
        <f>VLOOKUP("   OK, N",'[1]Raw Data'!$B$2:$O$102,6,FALSE)</f>
        <v>43</v>
      </c>
    </row>
    <row r="380" spans="1:15" ht="13.5" customHeight="1" x14ac:dyDescent="0.25">
      <c r="A380" s="13"/>
      <c r="B380" s="13" t="s">
        <v>10</v>
      </c>
      <c r="C380" s="13"/>
      <c r="D380" s="13"/>
      <c r="E380" s="13"/>
      <c r="F380" s="17">
        <f>VLOOKUP("   OK, N",'[1]Raw Data'!$B$2:$O$102,7,FALSE)</f>
        <v>27</v>
      </c>
      <c r="G380" s="17"/>
      <c r="H380" s="17"/>
      <c r="I380" s="17">
        <f>VLOOKUP("   OK, N",'[1]Raw Data'!$B$2:$O$102,8,FALSE)</f>
        <v>11</v>
      </c>
      <c r="J380" s="17"/>
      <c r="K380" s="17"/>
      <c r="L380" s="17">
        <f>VLOOKUP("   OK, N",'[1]Raw Data'!$B$2:$O$102,9,FALSE)</f>
        <v>20</v>
      </c>
      <c r="M380" s="17"/>
      <c r="N380" s="17"/>
      <c r="O380" s="17">
        <f>VLOOKUP("   OK, N",'[1]Raw Data'!$B$2:$O$102,10,FALSE)</f>
        <v>18</v>
      </c>
    </row>
    <row r="381" spans="1:15" ht="13.5" customHeight="1" x14ac:dyDescent="0.25">
      <c r="A381" s="13"/>
      <c r="B381" s="13" t="s">
        <v>11</v>
      </c>
      <c r="C381" s="13"/>
      <c r="D381" s="13"/>
      <c r="E381" s="13"/>
      <c r="F381" s="17">
        <f>VLOOKUP("   OK, N",'[1]Raw Data'!$B$2:$O$102,11,FALSE)</f>
        <v>48</v>
      </c>
      <c r="G381" s="17"/>
      <c r="H381" s="17"/>
      <c r="I381" s="17">
        <f>VLOOKUP("   OK, N",'[1]Raw Data'!$B$2:$O$102,12,FALSE)</f>
        <v>126</v>
      </c>
      <c r="J381" s="17"/>
      <c r="K381" s="17"/>
      <c r="L381" s="17">
        <f>VLOOKUP("   OK, N",'[1]Raw Data'!$B$2:$O$102,13,FALSE)</f>
        <v>137</v>
      </c>
      <c r="M381" s="17"/>
      <c r="N381" s="17"/>
      <c r="O381" s="17">
        <f>VLOOKUP("   OK, N",'[1]Raw Data'!$B$2:$O$102,14,FALSE)</f>
        <v>37</v>
      </c>
    </row>
    <row r="382" spans="1:15" ht="12" customHeight="1" x14ac:dyDescent="0.25"/>
    <row r="383" spans="1:15" ht="13.5" customHeight="1" x14ac:dyDescent="0.25">
      <c r="A383" s="13"/>
      <c r="B383" s="13"/>
      <c r="C383" s="18" t="str">
        <f>IF(VLOOKUP("OK, W",'[1]Raw Data'!$B$2:$O$102,2,FALSE)="CDO","OK, W"&amp;" "&amp;CHAR(178),"OK, W")</f>
        <v>OK, W</v>
      </c>
      <c r="D383" s="13"/>
      <c r="F383" s="15">
        <f>SUM(F384:F386)</f>
        <v>397</v>
      </c>
      <c r="G383" s="15"/>
      <c r="H383" s="15"/>
      <c r="I383" s="15">
        <f>SUM(I384:I386)</f>
        <v>474</v>
      </c>
      <c r="J383" s="15"/>
      <c r="K383" s="15"/>
      <c r="L383" s="15">
        <f>SUM(L384:L386)</f>
        <v>522</v>
      </c>
      <c r="M383" s="15"/>
      <c r="N383" s="15"/>
      <c r="O383" s="15">
        <f>SUM(O384:O386)</f>
        <v>349</v>
      </c>
    </row>
    <row r="384" spans="1:15" ht="13.5" customHeight="1" x14ac:dyDescent="0.25">
      <c r="A384" s="13"/>
      <c r="B384" s="13" t="s">
        <v>9</v>
      </c>
      <c r="C384" s="13"/>
      <c r="D384" s="13"/>
      <c r="E384" s="13"/>
      <c r="F384" s="17">
        <f>VLOOKUP("OK, W",'[1]Raw Data'!$B$2:$O$102,3,FALSE)</f>
        <v>112</v>
      </c>
      <c r="G384" s="17"/>
      <c r="H384" s="17"/>
      <c r="I384" s="17">
        <f>VLOOKUP("OK, W",'[1]Raw Data'!$B$2:$O$102,4,FALSE)</f>
        <v>198</v>
      </c>
      <c r="J384" s="17"/>
      <c r="K384" s="17"/>
      <c r="L384" s="17">
        <f>VLOOKUP("OK, W",'[1]Raw Data'!$B$2:$O$102,5,FALSE)</f>
        <v>197</v>
      </c>
      <c r="M384" s="17"/>
      <c r="N384" s="17"/>
      <c r="O384" s="17">
        <f>VLOOKUP("OK, W",'[1]Raw Data'!$B$2:$O$102,6,FALSE)</f>
        <v>113</v>
      </c>
    </row>
    <row r="385" spans="1:15" ht="13.5" customHeight="1" x14ac:dyDescent="0.25">
      <c r="A385" s="13"/>
      <c r="B385" s="13" t="s">
        <v>10</v>
      </c>
      <c r="C385" s="13"/>
      <c r="D385" s="13"/>
      <c r="E385" s="13"/>
      <c r="F385" s="17">
        <f>VLOOKUP("OK, W",'[1]Raw Data'!$B$2:$O$102,7,FALSE)</f>
        <v>64</v>
      </c>
      <c r="G385" s="17"/>
      <c r="H385" s="17"/>
      <c r="I385" s="17">
        <f>VLOOKUP("OK, W",'[1]Raw Data'!$B$2:$O$102,8,FALSE)</f>
        <v>41</v>
      </c>
      <c r="J385" s="17"/>
      <c r="K385" s="17"/>
      <c r="L385" s="17">
        <f>VLOOKUP("OK, W",'[1]Raw Data'!$B$2:$O$102,9,FALSE)</f>
        <v>55</v>
      </c>
      <c r="M385" s="17"/>
      <c r="N385" s="17"/>
      <c r="O385" s="17">
        <f>VLOOKUP("OK, W",'[1]Raw Data'!$B$2:$O$102,10,FALSE)</f>
        <v>50</v>
      </c>
    </row>
    <row r="386" spans="1:15" ht="13.5" customHeight="1" x14ac:dyDescent="0.25">
      <c r="A386" s="13"/>
      <c r="B386" s="13" t="s">
        <v>11</v>
      </c>
      <c r="C386" s="13"/>
      <c r="D386" s="13"/>
      <c r="E386" s="13"/>
      <c r="F386" s="17">
        <f>VLOOKUP("OK, W",'[1]Raw Data'!$B$2:$O$102,11,FALSE)</f>
        <v>221</v>
      </c>
      <c r="G386" s="17"/>
      <c r="H386" s="17"/>
      <c r="I386" s="17">
        <f>VLOOKUP("OK, W",'[1]Raw Data'!$B$2:$O$102,12,FALSE)</f>
        <v>235</v>
      </c>
      <c r="J386" s="17"/>
      <c r="K386" s="17"/>
      <c r="L386" s="17">
        <f>VLOOKUP("OK, W",'[1]Raw Data'!$B$2:$O$102,13,FALSE)</f>
        <v>270</v>
      </c>
      <c r="M386" s="17"/>
      <c r="N386" s="17"/>
      <c r="O386" s="17">
        <f>VLOOKUP("OK, W",'[1]Raw Data'!$B$2:$O$102,14,FALSE)</f>
        <v>186</v>
      </c>
    </row>
    <row r="387" spans="1:15" ht="12" customHeight="1" x14ac:dyDescent="0.25"/>
    <row r="388" spans="1:15" ht="13.5" customHeight="1" x14ac:dyDescent="0.25">
      <c r="A388" s="13"/>
      <c r="B388" s="13"/>
      <c r="C388" s="18" t="str">
        <f>IF(VLOOKUP("OR",'[1]Raw Data'!$B$2:$O$102,2,FALSE)="CDO","OR"&amp;" "&amp;CHAR(178),"OR")</f>
        <v>OR</v>
      </c>
      <c r="D388" s="13"/>
      <c r="F388" s="15">
        <f>SUM(F389:F391)</f>
        <v>1787</v>
      </c>
      <c r="G388" s="15"/>
      <c r="H388" s="15"/>
      <c r="I388" s="15">
        <f>SUM(I389:I391)</f>
        <v>1589</v>
      </c>
      <c r="J388" s="15"/>
      <c r="K388" s="15"/>
      <c r="L388" s="15">
        <f>SUM(L389:L391)</f>
        <v>2111</v>
      </c>
      <c r="M388" s="15"/>
      <c r="N388" s="15"/>
      <c r="O388" s="15">
        <f>SUM(O389:O391)</f>
        <v>1266</v>
      </c>
    </row>
    <row r="389" spans="1:15" ht="13.5" customHeight="1" x14ac:dyDescent="0.25">
      <c r="A389" s="13"/>
      <c r="B389" s="13" t="s">
        <v>9</v>
      </c>
      <c r="C389" s="13"/>
      <c r="D389" s="13"/>
      <c r="E389" s="13"/>
      <c r="F389" s="17">
        <f>VLOOKUP("OR",'[1]Raw Data'!$B$2:$O$102,3,FALSE)</f>
        <v>375</v>
      </c>
      <c r="G389" s="17"/>
      <c r="H389" s="17"/>
      <c r="I389" s="17">
        <f>VLOOKUP("OR",'[1]Raw Data'!$B$2:$O$102,4,FALSE)</f>
        <v>528</v>
      </c>
      <c r="J389" s="17"/>
      <c r="K389" s="17"/>
      <c r="L389" s="17">
        <f>VLOOKUP("OR",'[1]Raw Data'!$B$2:$O$102,5,FALSE)</f>
        <v>469</v>
      </c>
      <c r="M389" s="17"/>
      <c r="N389" s="17"/>
      <c r="O389" s="17">
        <f>VLOOKUP("OR",'[1]Raw Data'!$B$2:$O$102,6,FALSE)</f>
        <v>435</v>
      </c>
    </row>
    <row r="390" spans="1:15" ht="13.5" customHeight="1" x14ac:dyDescent="0.25">
      <c r="A390" s="13"/>
      <c r="B390" s="13" t="s">
        <v>10</v>
      </c>
      <c r="C390" s="13"/>
      <c r="D390" s="13"/>
      <c r="E390" s="13"/>
      <c r="F390" s="17">
        <f>VLOOKUP("OR",'[1]Raw Data'!$B$2:$O$102,7,FALSE)</f>
        <v>309</v>
      </c>
      <c r="G390" s="17"/>
      <c r="H390" s="17"/>
      <c r="I390" s="17">
        <f>VLOOKUP("OR",'[1]Raw Data'!$B$2:$O$102,8,FALSE)</f>
        <v>101</v>
      </c>
      <c r="J390" s="17"/>
      <c r="K390" s="17"/>
      <c r="L390" s="17">
        <f>VLOOKUP("OR",'[1]Raw Data'!$B$2:$O$102,9,FALSE)</f>
        <v>213</v>
      </c>
      <c r="M390" s="17"/>
      <c r="N390" s="17"/>
      <c r="O390" s="17">
        <f>VLOOKUP("OR",'[1]Raw Data'!$B$2:$O$102,10,FALSE)</f>
        <v>198</v>
      </c>
    </row>
    <row r="391" spans="1:15" ht="13.5" customHeight="1" x14ac:dyDescent="0.25">
      <c r="A391" s="13"/>
      <c r="B391" s="13" t="s">
        <v>11</v>
      </c>
      <c r="C391" s="13"/>
      <c r="D391" s="13"/>
      <c r="E391" s="13"/>
      <c r="F391" s="17">
        <f>VLOOKUP("OR",'[1]Raw Data'!$B$2:$O$102,11,FALSE)</f>
        <v>1103</v>
      </c>
      <c r="G391" s="17"/>
      <c r="H391" s="17"/>
      <c r="I391" s="17">
        <f>VLOOKUP("OR",'[1]Raw Data'!$B$2:$O$102,12,FALSE)</f>
        <v>960</v>
      </c>
      <c r="J391" s="17"/>
      <c r="K391" s="17"/>
      <c r="L391" s="17">
        <f>VLOOKUP("OR",'[1]Raw Data'!$B$2:$O$102,13,FALSE)</f>
        <v>1429</v>
      </c>
      <c r="M391" s="17"/>
      <c r="N391" s="17"/>
      <c r="O391" s="17">
        <f>VLOOKUP("OR",'[1]Raw Data'!$B$2:$O$102,14,FALSE)</f>
        <v>633</v>
      </c>
    </row>
    <row r="392" spans="1:15" ht="12" customHeight="1" x14ac:dyDescent="0.25"/>
    <row r="393" spans="1:15" ht="13.5" customHeight="1" x14ac:dyDescent="0.25">
      <c r="A393" s="13"/>
      <c r="B393" s="13"/>
      <c r="C393" s="18" t="str">
        <f>IF(VLOOKUP("PA, E",'[1]Raw Data'!$B$2:$O$102,2,FALSE)="CDO","PA, E"&amp;" "&amp;CHAR(178),"PA, E")</f>
        <v>PA, E ²</v>
      </c>
      <c r="D393" s="13"/>
      <c r="F393" s="15">
        <f>SUM(F394:F396)</f>
        <v>1561</v>
      </c>
      <c r="G393" s="15"/>
      <c r="H393" s="15"/>
      <c r="I393" s="15">
        <f>SUM(I394:I396)</f>
        <v>1300</v>
      </c>
      <c r="J393" s="15"/>
      <c r="K393" s="15"/>
      <c r="L393" s="15">
        <f>SUM(L394:L396)</f>
        <v>1451</v>
      </c>
      <c r="M393" s="15"/>
      <c r="N393" s="15"/>
      <c r="O393" s="15">
        <f>SUM(O394:O396)</f>
        <v>1409</v>
      </c>
    </row>
    <row r="394" spans="1:15" ht="13.5" customHeight="1" x14ac:dyDescent="0.25">
      <c r="A394" s="13"/>
      <c r="B394" s="13" t="s">
        <v>9</v>
      </c>
      <c r="C394" s="13"/>
      <c r="D394" s="13"/>
      <c r="E394" s="13"/>
      <c r="F394" s="17">
        <f>VLOOKUP("PA, E",'[1]Raw Data'!$B$2:$O$102,3,FALSE)</f>
        <v>243</v>
      </c>
      <c r="G394" s="17"/>
      <c r="H394" s="17"/>
      <c r="I394" s="17">
        <f>VLOOKUP("PA, E",'[1]Raw Data'!$B$2:$O$102,4,FALSE)</f>
        <v>331</v>
      </c>
      <c r="J394" s="17"/>
      <c r="K394" s="17"/>
      <c r="L394" s="17">
        <f>VLOOKUP("PA, E",'[1]Raw Data'!$B$2:$O$102,5,FALSE)</f>
        <v>313</v>
      </c>
      <c r="M394" s="17"/>
      <c r="N394" s="17"/>
      <c r="O394" s="17">
        <f>VLOOKUP("PA, E",'[1]Raw Data'!$B$2:$O$102,6,FALSE)</f>
        <v>260</v>
      </c>
    </row>
    <row r="395" spans="1:15" ht="13.5" customHeight="1" x14ac:dyDescent="0.25">
      <c r="A395" s="13"/>
      <c r="B395" s="13" t="s">
        <v>10</v>
      </c>
      <c r="C395" s="13"/>
      <c r="D395" s="13"/>
      <c r="E395" s="13"/>
      <c r="F395" s="17">
        <f>VLOOKUP("PA, E",'[1]Raw Data'!$B$2:$O$102,7,FALSE)</f>
        <v>682</v>
      </c>
      <c r="G395" s="17"/>
      <c r="H395" s="17"/>
      <c r="I395" s="17">
        <f>VLOOKUP("PA, E",'[1]Raw Data'!$B$2:$O$102,8,FALSE)</f>
        <v>128</v>
      </c>
      <c r="J395" s="17"/>
      <c r="K395" s="17"/>
      <c r="L395" s="17">
        <f>VLOOKUP("PA, E",'[1]Raw Data'!$B$2:$O$102,9,FALSE)</f>
        <v>234</v>
      </c>
      <c r="M395" s="17"/>
      <c r="N395" s="17"/>
      <c r="O395" s="17">
        <f>VLOOKUP("PA, E",'[1]Raw Data'!$B$2:$O$102,10,FALSE)</f>
        <v>575</v>
      </c>
    </row>
    <row r="396" spans="1:15" ht="13.5" customHeight="1" x14ac:dyDescent="0.25">
      <c r="A396" s="13"/>
      <c r="B396" s="13" t="s">
        <v>11</v>
      </c>
      <c r="C396" s="13"/>
      <c r="D396" s="13"/>
      <c r="E396" s="13"/>
      <c r="F396" s="17">
        <f>VLOOKUP("PA, E",'[1]Raw Data'!$B$2:$O$102,11,FALSE)</f>
        <v>636</v>
      </c>
      <c r="G396" s="17"/>
      <c r="H396" s="17"/>
      <c r="I396" s="17">
        <f>VLOOKUP("PA, E",'[1]Raw Data'!$B$2:$O$102,12,FALSE)</f>
        <v>841</v>
      </c>
      <c r="J396" s="17"/>
      <c r="K396" s="17"/>
      <c r="L396" s="17">
        <f>VLOOKUP("PA, E",'[1]Raw Data'!$B$2:$O$102,13,FALSE)</f>
        <v>904</v>
      </c>
      <c r="M396" s="17"/>
      <c r="N396" s="17"/>
      <c r="O396" s="17">
        <f>VLOOKUP("PA, E",'[1]Raw Data'!$B$2:$O$102,14,FALSE)</f>
        <v>574</v>
      </c>
    </row>
    <row r="397" spans="1:15" ht="12" customHeight="1" x14ac:dyDescent="0.25"/>
    <row r="398" spans="1:15" ht="13.5" customHeight="1" x14ac:dyDescent="0.25">
      <c r="A398" s="13"/>
      <c r="B398" s="13"/>
      <c r="C398" s="18" t="str">
        <f>IF(VLOOKUP("PA, M",'[1]Raw Data'!$B$2:$O$102,2,FALSE)="CDO","PA, M"&amp;" "&amp;CHAR(178),"PA, M")</f>
        <v>PA, M</v>
      </c>
      <c r="D398" s="13"/>
      <c r="F398" s="15">
        <f>SUM(F399:F401)</f>
        <v>620</v>
      </c>
      <c r="G398" s="15"/>
      <c r="H398" s="15"/>
      <c r="I398" s="15">
        <f>SUM(I399:I401)</f>
        <v>585</v>
      </c>
      <c r="J398" s="15"/>
      <c r="K398" s="15"/>
      <c r="L398" s="15">
        <f>SUM(L399:L401)</f>
        <v>741</v>
      </c>
      <c r="M398" s="15"/>
      <c r="N398" s="15"/>
      <c r="O398" s="15">
        <f>SUM(O399:O401)</f>
        <v>464</v>
      </c>
    </row>
    <row r="399" spans="1:15" ht="13.5" customHeight="1" x14ac:dyDescent="0.25">
      <c r="A399" s="13"/>
      <c r="B399" s="13" t="s">
        <v>9</v>
      </c>
      <c r="C399" s="13"/>
      <c r="D399" s="13"/>
      <c r="E399" s="13"/>
      <c r="F399" s="17">
        <f>VLOOKUP("PA, M",'[1]Raw Data'!$B$2:$O$102,3,FALSE)</f>
        <v>166</v>
      </c>
      <c r="G399" s="17"/>
      <c r="H399" s="17"/>
      <c r="I399" s="17">
        <f>VLOOKUP("PA, M",'[1]Raw Data'!$B$2:$O$102,4,FALSE)</f>
        <v>279</v>
      </c>
      <c r="J399" s="17"/>
      <c r="K399" s="17"/>
      <c r="L399" s="17">
        <f>VLOOKUP("PA, M",'[1]Raw Data'!$B$2:$O$102,5,FALSE)</f>
        <v>272</v>
      </c>
      <c r="M399" s="17"/>
      <c r="N399" s="17"/>
      <c r="O399" s="17">
        <f>VLOOKUP("PA, M",'[1]Raw Data'!$B$2:$O$102,6,FALSE)</f>
        <v>174</v>
      </c>
    </row>
    <row r="400" spans="1:15" ht="13.5" customHeight="1" x14ac:dyDescent="0.25">
      <c r="A400" s="13"/>
      <c r="B400" s="13" t="s">
        <v>10</v>
      </c>
      <c r="C400" s="13"/>
      <c r="D400" s="13"/>
      <c r="E400" s="13"/>
      <c r="F400" s="17">
        <f>VLOOKUP("PA, M",'[1]Raw Data'!$B$2:$O$102,7,FALSE)</f>
        <v>237</v>
      </c>
      <c r="G400" s="17"/>
      <c r="H400" s="17"/>
      <c r="I400" s="17">
        <f>VLOOKUP("PA, M",'[1]Raw Data'!$B$2:$O$102,8,FALSE)</f>
        <v>47</v>
      </c>
      <c r="J400" s="17"/>
      <c r="K400" s="17"/>
      <c r="L400" s="17">
        <f>VLOOKUP("PA, M",'[1]Raw Data'!$B$2:$O$102,9,FALSE)</f>
        <v>172</v>
      </c>
      <c r="M400" s="17"/>
      <c r="N400" s="17"/>
      <c r="O400" s="17">
        <f>VLOOKUP("PA, M",'[1]Raw Data'!$B$2:$O$102,10,FALSE)</f>
        <v>112</v>
      </c>
    </row>
    <row r="401" spans="1:15" ht="13.5" customHeight="1" x14ac:dyDescent="0.25">
      <c r="A401" s="13"/>
      <c r="B401" s="13" t="s">
        <v>11</v>
      </c>
      <c r="C401" s="13"/>
      <c r="D401" s="13"/>
      <c r="E401" s="13"/>
      <c r="F401" s="17">
        <f>VLOOKUP("PA, M",'[1]Raw Data'!$B$2:$O$102,11,FALSE)</f>
        <v>217</v>
      </c>
      <c r="G401" s="17"/>
      <c r="H401" s="17"/>
      <c r="I401" s="17">
        <f>VLOOKUP("PA, M",'[1]Raw Data'!$B$2:$O$102,12,FALSE)</f>
        <v>259</v>
      </c>
      <c r="J401" s="17"/>
      <c r="K401" s="17"/>
      <c r="L401" s="17">
        <f>VLOOKUP("PA, M",'[1]Raw Data'!$B$2:$O$102,13,FALSE)</f>
        <v>297</v>
      </c>
      <c r="M401" s="17"/>
      <c r="N401" s="17"/>
      <c r="O401" s="17">
        <f>VLOOKUP("PA, M",'[1]Raw Data'!$B$2:$O$102,14,FALSE)</f>
        <v>178</v>
      </c>
    </row>
    <row r="402" spans="1:15" ht="12" customHeight="1" x14ac:dyDescent="0.25"/>
    <row r="403" spans="1:15" ht="13.5" customHeight="1" x14ac:dyDescent="0.25">
      <c r="A403" s="13"/>
      <c r="B403" s="13"/>
      <c r="C403" s="18" t="str">
        <f>IF(VLOOKUP("PA, W",'[1]Raw Data'!$B$2:$O$102,2,FALSE)="CDO","PA, W"&amp;" "&amp;CHAR(178),"PA, W")</f>
        <v>PA, W</v>
      </c>
      <c r="D403" s="13"/>
      <c r="F403" s="15">
        <f>SUM(F404:F406)</f>
        <v>1542</v>
      </c>
      <c r="G403" s="15"/>
      <c r="H403" s="15"/>
      <c r="I403" s="15">
        <f>SUM(I404:I406)</f>
        <v>663</v>
      </c>
      <c r="J403" s="15"/>
      <c r="K403" s="15"/>
      <c r="L403" s="15">
        <f>SUM(L404:L406)</f>
        <v>1368</v>
      </c>
      <c r="M403" s="15"/>
      <c r="N403" s="15"/>
      <c r="O403" s="15">
        <f>SUM(O404:O406)</f>
        <v>834</v>
      </c>
    </row>
    <row r="404" spans="1:15" ht="13.5" customHeight="1" x14ac:dyDescent="0.25">
      <c r="A404" s="13"/>
      <c r="B404" s="13" t="s">
        <v>9</v>
      </c>
      <c r="C404" s="13"/>
      <c r="D404" s="13"/>
      <c r="E404" s="13"/>
      <c r="F404" s="17">
        <f>VLOOKUP("PA, W",'[1]Raw Data'!$B$2:$O$102,3,FALSE)</f>
        <v>258</v>
      </c>
      <c r="G404" s="17"/>
      <c r="H404" s="17"/>
      <c r="I404" s="17">
        <f>VLOOKUP("PA, W",'[1]Raw Data'!$B$2:$O$102,4,FALSE)</f>
        <v>262</v>
      </c>
      <c r="J404" s="17"/>
      <c r="K404" s="17"/>
      <c r="L404" s="17">
        <f>VLOOKUP("PA, W",'[1]Raw Data'!$B$2:$O$102,5,FALSE)</f>
        <v>184</v>
      </c>
      <c r="M404" s="17"/>
      <c r="N404" s="17"/>
      <c r="O404" s="17">
        <f>VLOOKUP("PA, W",'[1]Raw Data'!$B$2:$O$102,6,FALSE)</f>
        <v>336</v>
      </c>
    </row>
    <row r="405" spans="1:15" ht="13.5" customHeight="1" x14ac:dyDescent="0.25">
      <c r="A405" s="13"/>
      <c r="B405" s="13" t="s">
        <v>10</v>
      </c>
      <c r="C405" s="13"/>
      <c r="D405" s="13"/>
      <c r="E405" s="13"/>
      <c r="F405" s="17">
        <f>VLOOKUP("PA, W",'[1]Raw Data'!$B$2:$O$102,7,FALSE)</f>
        <v>219</v>
      </c>
      <c r="G405" s="17"/>
      <c r="H405" s="17"/>
      <c r="I405" s="17">
        <f>VLOOKUP("PA, W",'[1]Raw Data'!$B$2:$O$102,8,FALSE)</f>
        <v>41</v>
      </c>
      <c r="J405" s="17"/>
      <c r="K405" s="17"/>
      <c r="L405" s="17">
        <f>VLOOKUP("PA, W",'[1]Raw Data'!$B$2:$O$102,9,FALSE)</f>
        <v>151</v>
      </c>
      <c r="M405" s="17"/>
      <c r="N405" s="17"/>
      <c r="O405" s="17">
        <f>VLOOKUP("PA, W",'[1]Raw Data'!$B$2:$O$102,10,FALSE)</f>
        <v>109</v>
      </c>
    </row>
    <row r="406" spans="1:15" ht="13.5" customHeight="1" x14ac:dyDescent="0.25">
      <c r="A406" s="13"/>
      <c r="B406" s="13" t="s">
        <v>11</v>
      </c>
      <c r="C406" s="13"/>
      <c r="D406" s="13"/>
      <c r="E406" s="13"/>
      <c r="F406" s="17">
        <f>VLOOKUP("PA, W",'[1]Raw Data'!$B$2:$O$102,11,FALSE)</f>
        <v>1065</v>
      </c>
      <c r="G406" s="17"/>
      <c r="H406" s="17"/>
      <c r="I406" s="17">
        <f>VLOOKUP("PA, W",'[1]Raw Data'!$B$2:$O$102,12,FALSE)</f>
        <v>360</v>
      </c>
      <c r="J406" s="17"/>
      <c r="K406" s="17"/>
      <c r="L406" s="17">
        <f>VLOOKUP("PA, W",'[1]Raw Data'!$B$2:$O$102,13,FALSE)</f>
        <v>1033</v>
      </c>
      <c r="M406" s="17"/>
      <c r="N406" s="17"/>
      <c r="O406" s="17">
        <f>VLOOKUP("PA, W",'[1]Raw Data'!$B$2:$O$102,14,FALSE)</f>
        <v>389</v>
      </c>
    </row>
    <row r="407" spans="1:15" ht="12" customHeight="1" x14ac:dyDescent="0.25"/>
    <row r="408" spans="1:15" ht="13.5" customHeight="1" x14ac:dyDescent="0.25">
      <c r="A408" s="13"/>
      <c r="B408" s="13"/>
      <c r="C408" s="18" t="str">
        <f>IF(VLOOKUP("PR",'[1]Raw Data'!$B$2:$O$102,2,FALSE)="CDO","PR"&amp;" "&amp;CHAR(178),"PR")</f>
        <v>PR</v>
      </c>
      <c r="D408" s="13"/>
      <c r="F408" s="15">
        <f>SUM(F409:F411)</f>
        <v>784</v>
      </c>
      <c r="G408" s="15"/>
      <c r="H408" s="15"/>
      <c r="I408" s="15">
        <f>SUM(I409:I411)</f>
        <v>2720</v>
      </c>
      <c r="J408" s="15"/>
      <c r="K408" s="15"/>
      <c r="L408" s="15">
        <f>SUM(L409:L411)</f>
        <v>2438</v>
      </c>
      <c r="M408" s="15"/>
      <c r="N408" s="15"/>
      <c r="O408" s="15">
        <f>SUM(O409:O411)</f>
        <v>1059</v>
      </c>
    </row>
    <row r="409" spans="1:15" ht="13.5" customHeight="1" x14ac:dyDescent="0.25">
      <c r="A409" s="13"/>
      <c r="B409" s="13" t="s">
        <v>9</v>
      </c>
      <c r="C409" s="13"/>
      <c r="D409" s="13"/>
      <c r="E409" s="13"/>
      <c r="F409" s="17">
        <f>VLOOKUP("PR",'[1]Raw Data'!$B$2:$O$102,3,FALSE)</f>
        <v>420</v>
      </c>
      <c r="G409" s="17"/>
      <c r="H409" s="17"/>
      <c r="I409" s="17">
        <f>VLOOKUP("PR",'[1]Raw Data'!$B$2:$O$102,4,FALSE)</f>
        <v>491</v>
      </c>
      <c r="J409" s="17"/>
      <c r="K409" s="17"/>
      <c r="L409" s="17">
        <f>VLOOKUP("PR",'[1]Raw Data'!$B$2:$O$102,5,FALSE)</f>
        <v>433</v>
      </c>
      <c r="M409" s="17"/>
      <c r="N409" s="17"/>
      <c r="O409" s="17">
        <f>VLOOKUP("PR",'[1]Raw Data'!$B$2:$O$102,6,FALSE)</f>
        <v>480</v>
      </c>
    </row>
    <row r="410" spans="1:15" ht="13.5" customHeight="1" x14ac:dyDescent="0.25">
      <c r="A410" s="13"/>
      <c r="B410" s="13" t="s">
        <v>10</v>
      </c>
      <c r="C410" s="13"/>
      <c r="D410" s="13"/>
      <c r="E410" s="13"/>
      <c r="F410" s="17">
        <f>VLOOKUP("PR",'[1]Raw Data'!$B$2:$O$102,7,FALSE)</f>
        <v>44</v>
      </c>
      <c r="G410" s="17"/>
      <c r="H410" s="17"/>
      <c r="I410" s="17">
        <f>VLOOKUP("PR",'[1]Raw Data'!$B$2:$O$102,8,FALSE)</f>
        <v>444</v>
      </c>
      <c r="J410" s="17"/>
      <c r="K410" s="17"/>
      <c r="L410" s="17">
        <f>VLOOKUP("PR",'[1]Raw Data'!$B$2:$O$102,9,FALSE)</f>
        <v>140</v>
      </c>
      <c r="M410" s="17"/>
      <c r="N410" s="17"/>
      <c r="O410" s="17">
        <f>VLOOKUP("PR",'[1]Raw Data'!$B$2:$O$102,10,FALSE)</f>
        <v>345</v>
      </c>
    </row>
    <row r="411" spans="1:15" ht="13.5" customHeight="1" x14ac:dyDescent="0.25">
      <c r="A411" s="13"/>
      <c r="B411" s="13" t="s">
        <v>11</v>
      </c>
      <c r="C411" s="13"/>
      <c r="D411" s="13"/>
      <c r="E411" s="13"/>
      <c r="F411" s="17">
        <f>VLOOKUP("PR",'[1]Raw Data'!$B$2:$O$102,11,FALSE)</f>
        <v>320</v>
      </c>
      <c r="G411" s="17"/>
      <c r="H411" s="17"/>
      <c r="I411" s="17">
        <f>VLOOKUP("PR",'[1]Raw Data'!$B$2:$O$102,12,FALSE)</f>
        <v>1785</v>
      </c>
      <c r="J411" s="17"/>
      <c r="K411" s="17"/>
      <c r="L411" s="17">
        <f>VLOOKUP("PR",'[1]Raw Data'!$B$2:$O$102,13,FALSE)</f>
        <v>1865</v>
      </c>
      <c r="M411" s="17"/>
      <c r="N411" s="17"/>
      <c r="O411" s="17">
        <f>VLOOKUP("PR",'[1]Raw Data'!$B$2:$O$102,14,FALSE)</f>
        <v>234</v>
      </c>
    </row>
    <row r="412" spans="1:15" ht="12" customHeight="1" x14ac:dyDescent="0.25"/>
    <row r="413" spans="1:15" ht="13.5" customHeight="1" x14ac:dyDescent="0.25">
      <c r="A413" s="13"/>
      <c r="B413" s="13"/>
      <c r="C413" s="18" t="str">
        <f>IF(VLOOKUP("SC",'[1]Raw Data'!$B$2:$O$102,2,FALSE)="CDO","SC"&amp;" "&amp;CHAR(178),"SC")</f>
        <v>SC</v>
      </c>
      <c r="D413" s="13"/>
      <c r="F413" s="15">
        <f>SUM(F414:F416)</f>
        <v>990</v>
      </c>
      <c r="G413" s="15"/>
      <c r="H413" s="15"/>
      <c r="I413" s="15">
        <f>SUM(I414:I416)</f>
        <v>1282</v>
      </c>
      <c r="J413" s="15"/>
      <c r="K413" s="15"/>
      <c r="L413" s="15">
        <f>SUM(L414:L416)</f>
        <v>1317</v>
      </c>
      <c r="M413" s="15"/>
      <c r="N413" s="15"/>
      <c r="O413" s="15">
        <f>SUM(O414:O416)</f>
        <v>957</v>
      </c>
    </row>
    <row r="414" spans="1:15" ht="13.5" customHeight="1" x14ac:dyDescent="0.25">
      <c r="A414" s="13"/>
      <c r="B414" s="13" t="s">
        <v>9</v>
      </c>
      <c r="C414" s="13"/>
      <c r="D414" s="13"/>
      <c r="E414" s="13"/>
      <c r="F414" s="17">
        <f>VLOOKUP("SC",'[1]Raw Data'!$B$2:$O$102,3,FALSE)</f>
        <v>385</v>
      </c>
      <c r="G414" s="17"/>
      <c r="H414" s="17"/>
      <c r="I414" s="17">
        <f>VLOOKUP("SC",'[1]Raw Data'!$B$2:$O$102,4,FALSE)</f>
        <v>719</v>
      </c>
      <c r="J414" s="17"/>
      <c r="K414" s="17"/>
      <c r="L414" s="17">
        <f>VLOOKUP("SC",'[1]Raw Data'!$B$2:$O$102,5,FALSE)</f>
        <v>588</v>
      </c>
      <c r="M414" s="17"/>
      <c r="N414" s="17"/>
      <c r="O414" s="17">
        <f>VLOOKUP("SC",'[1]Raw Data'!$B$2:$O$102,6,FALSE)</f>
        <v>517</v>
      </c>
    </row>
    <row r="415" spans="1:15" ht="13.5" customHeight="1" x14ac:dyDescent="0.25">
      <c r="A415" s="13"/>
      <c r="B415" s="13" t="s">
        <v>10</v>
      </c>
      <c r="C415" s="13"/>
      <c r="D415" s="13"/>
      <c r="E415" s="13"/>
      <c r="F415" s="17">
        <f>VLOOKUP("SC",'[1]Raw Data'!$B$2:$O$102,7,FALSE)</f>
        <v>359</v>
      </c>
      <c r="G415" s="17"/>
      <c r="H415" s="17"/>
      <c r="I415" s="17">
        <f>VLOOKUP("SC",'[1]Raw Data'!$B$2:$O$102,8,FALSE)</f>
        <v>87</v>
      </c>
      <c r="J415" s="17"/>
      <c r="K415" s="17"/>
      <c r="L415" s="17">
        <f>VLOOKUP("SC",'[1]Raw Data'!$B$2:$O$102,9,FALSE)</f>
        <v>206</v>
      </c>
      <c r="M415" s="17"/>
      <c r="N415" s="17"/>
      <c r="O415" s="17">
        <f>VLOOKUP("SC",'[1]Raw Data'!$B$2:$O$102,10,FALSE)</f>
        <v>239</v>
      </c>
    </row>
    <row r="416" spans="1:15" ht="13.5" customHeight="1" x14ac:dyDescent="0.25">
      <c r="A416" s="13"/>
      <c r="B416" s="13" t="s">
        <v>11</v>
      </c>
      <c r="C416" s="13"/>
      <c r="D416" s="13"/>
      <c r="E416" s="13"/>
      <c r="F416" s="17">
        <f>VLOOKUP("SC",'[1]Raw Data'!$B$2:$O$102,11,FALSE)</f>
        <v>246</v>
      </c>
      <c r="G416" s="17"/>
      <c r="H416" s="17"/>
      <c r="I416" s="17">
        <f>VLOOKUP("SC",'[1]Raw Data'!$B$2:$O$102,12,FALSE)</f>
        <v>476</v>
      </c>
      <c r="J416" s="17"/>
      <c r="K416" s="17"/>
      <c r="L416" s="17">
        <f>VLOOKUP("SC",'[1]Raw Data'!$B$2:$O$102,13,FALSE)</f>
        <v>523</v>
      </c>
      <c r="M416" s="17"/>
      <c r="N416" s="17"/>
      <c r="O416" s="17">
        <f>VLOOKUP("SC",'[1]Raw Data'!$B$2:$O$102,14,FALSE)</f>
        <v>201</v>
      </c>
    </row>
    <row r="417" spans="1:15" ht="12" customHeight="1" x14ac:dyDescent="0.25"/>
    <row r="418" spans="1:15" ht="13.5" customHeight="1" x14ac:dyDescent="0.25">
      <c r="A418" s="13"/>
      <c r="B418" s="13"/>
      <c r="C418" s="18" t="str">
        <f>IF(VLOOKUP("TN, E",'[1]Raw Data'!$B$2:$O$102,2,FALSE)="CDO","TN, E"&amp;" "&amp;CHAR(178),"TN, E")</f>
        <v>TN, E ²</v>
      </c>
      <c r="D418" s="13"/>
      <c r="F418" s="15">
        <f>SUM(F419:F421)</f>
        <v>946</v>
      </c>
      <c r="G418" s="15"/>
      <c r="H418" s="15"/>
      <c r="I418" s="15">
        <f>SUM(I419:I421)</f>
        <v>1239</v>
      </c>
      <c r="J418" s="15"/>
      <c r="K418" s="15"/>
      <c r="L418" s="15">
        <f>SUM(L419:L421)</f>
        <v>1333</v>
      </c>
      <c r="M418" s="15"/>
      <c r="N418" s="15"/>
      <c r="O418" s="15">
        <f>SUM(O419:O421)</f>
        <v>852</v>
      </c>
    </row>
    <row r="419" spans="1:15" ht="13.5" customHeight="1" x14ac:dyDescent="0.25">
      <c r="A419" s="13"/>
      <c r="B419" s="13" t="s">
        <v>9</v>
      </c>
      <c r="C419" s="13"/>
      <c r="D419" s="13"/>
      <c r="E419" s="13"/>
      <c r="F419" s="17">
        <f>VLOOKUP("TN, E",'[1]Raw Data'!$B$2:$O$102,3,FALSE)</f>
        <v>317</v>
      </c>
      <c r="G419" s="17"/>
      <c r="H419" s="17"/>
      <c r="I419" s="17">
        <f>VLOOKUP("TN, E",'[1]Raw Data'!$B$2:$O$102,4,FALSE)</f>
        <v>500</v>
      </c>
      <c r="J419" s="17"/>
      <c r="K419" s="17"/>
      <c r="L419" s="17">
        <f>VLOOKUP("TN, E",'[1]Raw Data'!$B$2:$O$102,5,FALSE)</f>
        <v>383</v>
      </c>
      <c r="M419" s="17"/>
      <c r="N419" s="17"/>
      <c r="O419" s="17">
        <f>VLOOKUP("TN, E",'[1]Raw Data'!$B$2:$O$102,6,FALSE)</f>
        <v>446</v>
      </c>
    </row>
    <row r="420" spans="1:15" ht="13.5" customHeight="1" x14ac:dyDescent="0.25">
      <c r="A420" s="13"/>
      <c r="B420" s="13" t="s">
        <v>10</v>
      </c>
      <c r="C420" s="13"/>
      <c r="D420" s="13"/>
      <c r="E420" s="13"/>
      <c r="F420" s="17">
        <f>VLOOKUP("TN, E",'[1]Raw Data'!$B$2:$O$102,7,FALSE)</f>
        <v>249</v>
      </c>
      <c r="G420" s="17"/>
      <c r="H420" s="17"/>
      <c r="I420" s="17">
        <f>VLOOKUP("TN, E",'[1]Raw Data'!$B$2:$O$102,8,FALSE)</f>
        <v>71</v>
      </c>
      <c r="J420" s="17"/>
      <c r="K420" s="17"/>
      <c r="L420" s="17">
        <f>VLOOKUP("TN, E",'[1]Raw Data'!$B$2:$O$102,9,FALSE)</f>
        <v>169</v>
      </c>
      <c r="M420" s="17"/>
      <c r="N420" s="17"/>
      <c r="O420" s="17">
        <f>VLOOKUP("TN, E",'[1]Raw Data'!$B$2:$O$102,10,FALSE)</f>
        <v>151</v>
      </c>
    </row>
    <row r="421" spans="1:15" ht="13.5" customHeight="1" x14ac:dyDescent="0.25">
      <c r="A421" s="13"/>
      <c r="B421" s="13" t="s">
        <v>11</v>
      </c>
      <c r="C421" s="13"/>
      <c r="D421" s="13"/>
      <c r="E421" s="13"/>
      <c r="F421" s="17">
        <f>VLOOKUP("TN, E",'[1]Raw Data'!$B$2:$O$102,11,FALSE)</f>
        <v>380</v>
      </c>
      <c r="G421" s="17"/>
      <c r="H421" s="17"/>
      <c r="I421" s="17">
        <f>VLOOKUP("TN, E",'[1]Raw Data'!$B$2:$O$102,12,FALSE)</f>
        <v>668</v>
      </c>
      <c r="J421" s="17"/>
      <c r="K421" s="17"/>
      <c r="L421" s="17">
        <f>VLOOKUP("TN, E",'[1]Raw Data'!$B$2:$O$102,13,FALSE)</f>
        <v>781</v>
      </c>
      <c r="M421" s="17"/>
      <c r="N421" s="17"/>
      <c r="O421" s="17">
        <f>VLOOKUP("TN, E",'[1]Raw Data'!$B$2:$O$102,14,FALSE)</f>
        <v>255</v>
      </c>
    </row>
    <row r="422" spans="1:15" ht="12" customHeight="1" x14ac:dyDescent="0.25"/>
    <row r="423" spans="1:15" ht="13.5" customHeight="1" x14ac:dyDescent="0.25">
      <c r="A423" s="13"/>
      <c r="B423" s="13"/>
      <c r="C423" s="18" t="str">
        <f>IF(VLOOKUP("TN, M",'[1]Raw Data'!$B$2:$O$102,2,FALSE)="CDO","TN, M"&amp;" "&amp;CHAR(178),"TN, M")</f>
        <v>TN, M</v>
      </c>
      <c r="D423" s="13"/>
      <c r="F423" s="15">
        <f>SUM(F424:F426)</f>
        <v>847</v>
      </c>
      <c r="G423" s="15"/>
      <c r="H423" s="15"/>
      <c r="I423" s="15">
        <f>SUM(I424:I426)</f>
        <v>512</v>
      </c>
      <c r="J423" s="15"/>
      <c r="K423" s="15"/>
      <c r="L423" s="15">
        <f>SUM(L424:L426)</f>
        <v>893</v>
      </c>
      <c r="M423" s="15"/>
      <c r="N423" s="15"/>
      <c r="O423" s="15">
        <f>SUM(O424:O426)</f>
        <v>466</v>
      </c>
    </row>
    <row r="424" spans="1:15" ht="13.5" customHeight="1" x14ac:dyDescent="0.25">
      <c r="A424" s="13"/>
      <c r="B424" s="13" t="s">
        <v>9</v>
      </c>
      <c r="C424" s="13"/>
      <c r="D424" s="13"/>
      <c r="E424" s="13"/>
      <c r="F424" s="17">
        <f>VLOOKUP("TN, M",'[1]Raw Data'!$B$2:$O$102,3,FALSE)</f>
        <v>146</v>
      </c>
      <c r="G424" s="17"/>
      <c r="H424" s="17"/>
      <c r="I424" s="17">
        <f>VLOOKUP("TN, M",'[1]Raw Data'!$B$2:$O$102,4,FALSE)</f>
        <v>231</v>
      </c>
      <c r="J424" s="17"/>
      <c r="K424" s="17"/>
      <c r="L424" s="17">
        <f>VLOOKUP("TN, M",'[1]Raw Data'!$B$2:$O$102,5,FALSE)</f>
        <v>209</v>
      </c>
      <c r="M424" s="17"/>
      <c r="N424" s="17"/>
      <c r="O424" s="17">
        <f>VLOOKUP("TN, M",'[1]Raw Data'!$B$2:$O$102,6,FALSE)</f>
        <v>167</v>
      </c>
    </row>
    <row r="425" spans="1:15" ht="13.5" customHeight="1" x14ac:dyDescent="0.25">
      <c r="A425" s="13"/>
      <c r="B425" s="13" t="s">
        <v>10</v>
      </c>
      <c r="C425" s="13"/>
      <c r="D425" s="13"/>
      <c r="E425" s="13"/>
      <c r="F425" s="17">
        <f>VLOOKUP("TN, M",'[1]Raw Data'!$B$2:$O$102,7,FALSE)</f>
        <v>191</v>
      </c>
      <c r="G425" s="17"/>
      <c r="H425" s="17"/>
      <c r="I425" s="17">
        <f>VLOOKUP("TN, M",'[1]Raw Data'!$B$2:$O$102,8,FALSE)</f>
        <v>42</v>
      </c>
      <c r="J425" s="17"/>
      <c r="K425" s="17"/>
      <c r="L425" s="17">
        <f>VLOOKUP("TN, M",'[1]Raw Data'!$B$2:$O$102,9,FALSE)</f>
        <v>119</v>
      </c>
      <c r="M425" s="17"/>
      <c r="N425" s="17"/>
      <c r="O425" s="17">
        <f>VLOOKUP("TN, M",'[1]Raw Data'!$B$2:$O$102,10,FALSE)</f>
        <v>112</v>
      </c>
    </row>
    <row r="426" spans="1:15" ht="13.5" customHeight="1" x14ac:dyDescent="0.25">
      <c r="A426" s="13"/>
      <c r="B426" s="13" t="s">
        <v>11</v>
      </c>
      <c r="C426" s="13"/>
      <c r="D426" s="13"/>
      <c r="E426" s="13"/>
      <c r="F426" s="17">
        <f>VLOOKUP("TN, M",'[1]Raw Data'!$B$2:$O$102,11,FALSE)</f>
        <v>510</v>
      </c>
      <c r="G426" s="17"/>
      <c r="H426" s="17"/>
      <c r="I426" s="17">
        <f>VLOOKUP("TN, M",'[1]Raw Data'!$B$2:$O$102,12,FALSE)</f>
        <v>239</v>
      </c>
      <c r="J426" s="17"/>
      <c r="K426" s="17"/>
      <c r="L426" s="17">
        <f>VLOOKUP("TN, M",'[1]Raw Data'!$B$2:$O$102,13,FALSE)</f>
        <v>565</v>
      </c>
      <c r="M426" s="17"/>
      <c r="N426" s="17"/>
      <c r="O426" s="17">
        <f>VLOOKUP("TN, M",'[1]Raw Data'!$B$2:$O$102,14,FALSE)</f>
        <v>187</v>
      </c>
    </row>
    <row r="427" spans="1:15" ht="12" customHeight="1" x14ac:dyDescent="0.25"/>
    <row r="428" spans="1:15" ht="13.5" customHeight="1" x14ac:dyDescent="0.25">
      <c r="A428" s="13"/>
      <c r="B428" s="13"/>
      <c r="C428" s="18" t="str">
        <f>IF(VLOOKUP("TN, W",'[1]Raw Data'!$B$2:$O$102,2,FALSE)="CDO","TN, W"&amp;" "&amp;CHAR(178),"TN, W")</f>
        <v>TN, W</v>
      </c>
      <c r="D428" s="13"/>
      <c r="F428" s="15">
        <f>SUM(F429:F431)</f>
        <v>467</v>
      </c>
      <c r="G428" s="15"/>
      <c r="H428" s="15"/>
      <c r="I428" s="15">
        <f>SUM(I429:I431)</f>
        <v>597</v>
      </c>
      <c r="J428" s="15"/>
      <c r="K428" s="15"/>
      <c r="L428" s="15">
        <f>SUM(L429:L431)</f>
        <v>596</v>
      </c>
      <c r="M428" s="15"/>
      <c r="N428" s="15"/>
      <c r="O428" s="15">
        <f>SUM(O429:O431)</f>
        <v>468</v>
      </c>
    </row>
    <row r="429" spans="1:15" ht="13.5" customHeight="1" x14ac:dyDescent="0.25">
      <c r="A429" s="13"/>
      <c r="B429" s="13" t="s">
        <v>9</v>
      </c>
      <c r="C429" s="13"/>
      <c r="D429" s="13"/>
      <c r="E429" s="13"/>
      <c r="F429" s="17">
        <f>VLOOKUP("TN, W",'[1]Raw Data'!$B$2:$O$102,3,FALSE)</f>
        <v>139</v>
      </c>
      <c r="G429" s="17"/>
      <c r="H429" s="17"/>
      <c r="I429" s="17">
        <f>VLOOKUP("TN, W",'[1]Raw Data'!$B$2:$O$102,4,FALSE)</f>
        <v>266</v>
      </c>
      <c r="J429" s="17"/>
      <c r="K429" s="17"/>
      <c r="L429" s="17">
        <f>VLOOKUP("TN, W",'[1]Raw Data'!$B$2:$O$102,5,FALSE)</f>
        <v>237</v>
      </c>
      <c r="M429" s="17"/>
      <c r="N429" s="17"/>
      <c r="O429" s="17">
        <f>VLOOKUP("TN, W",'[1]Raw Data'!$B$2:$O$102,6,FALSE)</f>
        <v>168</v>
      </c>
    </row>
    <row r="430" spans="1:15" ht="13.5" customHeight="1" x14ac:dyDescent="0.25">
      <c r="A430" s="13"/>
      <c r="B430" s="13" t="s">
        <v>10</v>
      </c>
      <c r="C430" s="13"/>
      <c r="D430" s="13"/>
      <c r="E430" s="13"/>
      <c r="F430" s="17">
        <f>VLOOKUP("TN, W",'[1]Raw Data'!$B$2:$O$102,7,FALSE)</f>
        <v>134</v>
      </c>
      <c r="G430" s="17"/>
      <c r="H430" s="17"/>
      <c r="I430" s="17">
        <f>VLOOKUP("TN, W",'[1]Raw Data'!$B$2:$O$102,8,FALSE)</f>
        <v>65</v>
      </c>
      <c r="J430" s="17"/>
      <c r="K430" s="17"/>
      <c r="L430" s="17">
        <f>VLOOKUP("TN, W",'[1]Raw Data'!$B$2:$O$102,9,FALSE)</f>
        <v>79</v>
      </c>
      <c r="M430" s="17"/>
      <c r="N430" s="17"/>
      <c r="O430" s="17">
        <f>VLOOKUP("TN, W",'[1]Raw Data'!$B$2:$O$102,10,FALSE)</f>
        <v>122</v>
      </c>
    </row>
    <row r="431" spans="1:15" ht="13.5" customHeight="1" x14ac:dyDescent="0.25">
      <c r="A431" s="13"/>
      <c r="B431" s="13" t="s">
        <v>11</v>
      </c>
      <c r="C431" s="13"/>
      <c r="D431" s="13"/>
      <c r="E431" s="13"/>
      <c r="F431" s="17">
        <f>VLOOKUP("TN, W",'[1]Raw Data'!$B$2:$O$102,11,FALSE)</f>
        <v>194</v>
      </c>
      <c r="G431" s="17"/>
      <c r="H431" s="17"/>
      <c r="I431" s="17">
        <f>VLOOKUP("TN, W",'[1]Raw Data'!$B$2:$O$102,12,FALSE)</f>
        <v>266</v>
      </c>
      <c r="J431" s="17"/>
      <c r="K431" s="17"/>
      <c r="L431" s="17">
        <f>VLOOKUP("TN, W",'[1]Raw Data'!$B$2:$O$102,13,FALSE)</f>
        <v>280</v>
      </c>
      <c r="M431" s="17"/>
      <c r="N431" s="17"/>
      <c r="O431" s="17">
        <f>VLOOKUP("TN, W",'[1]Raw Data'!$B$2:$O$102,14,FALSE)</f>
        <v>178</v>
      </c>
    </row>
    <row r="432" spans="1:15" ht="12" customHeight="1" x14ac:dyDescent="0.25"/>
    <row r="433" spans="1:15" ht="13.5" customHeight="1" x14ac:dyDescent="0.25">
      <c r="A433" s="13"/>
      <c r="B433" s="13"/>
      <c r="C433" s="18" t="str">
        <f>IF(VLOOKUP("TX, E",'[1]Raw Data'!$B$2:$O$102,2,FALSE)="CDO","TX, E"&amp;" "&amp;CHAR(178),"TX, E")</f>
        <v>TX, E</v>
      </c>
      <c r="D433" s="13"/>
      <c r="F433" s="15">
        <f>SUM(F434:F436)</f>
        <v>348</v>
      </c>
      <c r="G433" s="15"/>
      <c r="H433" s="15"/>
      <c r="I433" s="15">
        <f>SUM(I434:I436)</f>
        <v>593</v>
      </c>
      <c r="J433" s="15"/>
      <c r="K433" s="15"/>
      <c r="L433" s="15">
        <f>SUM(L434:L436)</f>
        <v>651</v>
      </c>
      <c r="M433" s="15"/>
      <c r="N433" s="15"/>
      <c r="O433" s="15">
        <f>SUM(O434:O436)</f>
        <v>287</v>
      </c>
    </row>
    <row r="434" spans="1:15" ht="13.5" customHeight="1" x14ac:dyDescent="0.25">
      <c r="A434" s="13"/>
      <c r="B434" s="13" t="s">
        <v>9</v>
      </c>
      <c r="C434" s="13"/>
      <c r="D434" s="13"/>
      <c r="E434" s="13"/>
      <c r="F434" s="17">
        <f>VLOOKUP("TX, E",'[1]Raw Data'!$B$2:$O$102,3,FALSE)</f>
        <v>189</v>
      </c>
      <c r="G434" s="17"/>
      <c r="H434" s="17"/>
      <c r="I434" s="17">
        <f>VLOOKUP("TX, E",'[1]Raw Data'!$B$2:$O$102,4,FALSE)</f>
        <v>326</v>
      </c>
      <c r="J434" s="17"/>
      <c r="K434" s="17"/>
      <c r="L434" s="17">
        <f>VLOOKUP("TX, E",'[1]Raw Data'!$B$2:$O$102,5,FALSE)</f>
        <v>280</v>
      </c>
      <c r="M434" s="17"/>
      <c r="N434" s="17"/>
      <c r="O434" s="17">
        <f>VLOOKUP("TX, E",'[1]Raw Data'!$B$2:$O$102,6,FALSE)</f>
        <v>232</v>
      </c>
    </row>
    <row r="435" spans="1:15" ht="13.5" customHeight="1" x14ac:dyDescent="0.25">
      <c r="A435" s="13"/>
      <c r="B435" s="13" t="s">
        <v>10</v>
      </c>
      <c r="C435" s="13"/>
      <c r="D435" s="13"/>
      <c r="E435" s="13"/>
      <c r="F435" s="17">
        <f>VLOOKUP("TX, E",'[1]Raw Data'!$B$2:$O$102,7,FALSE)</f>
        <v>28</v>
      </c>
      <c r="G435" s="17"/>
      <c r="H435" s="17"/>
      <c r="I435" s="17">
        <f>VLOOKUP("TX, E",'[1]Raw Data'!$B$2:$O$102,8,FALSE)</f>
        <v>16</v>
      </c>
      <c r="J435" s="17"/>
      <c r="K435" s="17"/>
      <c r="L435" s="17">
        <f>VLOOKUP("TX, E",'[1]Raw Data'!$B$2:$O$102,9,FALSE)</f>
        <v>30</v>
      </c>
      <c r="M435" s="17"/>
      <c r="N435" s="17"/>
      <c r="O435" s="17">
        <f>VLOOKUP("TX, E",'[1]Raw Data'!$B$2:$O$102,10,FALSE)</f>
        <v>14</v>
      </c>
    </row>
    <row r="436" spans="1:15" ht="13.5" customHeight="1" x14ac:dyDescent="0.25">
      <c r="A436" s="13"/>
      <c r="B436" s="13" t="s">
        <v>11</v>
      </c>
      <c r="C436" s="13"/>
      <c r="D436" s="13"/>
      <c r="E436" s="13"/>
      <c r="F436" s="17">
        <f>VLOOKUP("TX, E",'[1]Raw Data'!$B$2:$O$102,11,FALSE)</f>
        <v>131</v>
      </c>
      <c r="G436" s="17"/>
      <c r="H436" s="17"/>
      <c r="I436" s="17">
        <f>VLOOKUP("TX, E",'[1]Raw Data'!$B$2:$O$102,12,FALSE)</f>
        <v>251</v>
      </c>
      <c r="J436" s="17"/>
      <c r="K436" s="17"/>
      <c r="L436" s="17">
        <f>VLOOKUP("TX, E",'[1]Raw Data'!$B$2:$O$102,13,FALSE)</f>
        <v>341</v>
      </c>
      <c r="M436" s="17"/>
      <c r="N436" s="17"/>
      <c r="O436" s="17">
        <f>VLOOKUP("TX, E",'[1]Raw Data'!$B$2:$O$102,14,FALSE)</f>
        <v>41</v>
      </c>
    </row>
    <row r="437" spans="1:15" ht="12" customHeight="1" x14ac:dyDescent="0.25"/>
    <row r="438" spans="1:15" ht="13.5" customHeight="1" x14ac:dyDescent="0.25">
      <c r="A438" s="13"/>
      <c r="B438" s="13"/>
      <c r="C438" s="18" t="str">
        <f>IF(VLOOKUP("TX, N",'[1]Raw Data'!$B$2:$O$102,2,FALSE)="CDO","TX, N"&amp;" "&amp;CHAR(178),"TX, N")</f>
        <v>TX, N</v>
      </c>
      <c r="D438" s="13"/>
      <c r="F438" s="15">
        <f>SUM(F439:F441)</f>
        <v>991</v>
      </c>
      <c r="G438" s="15"/>
      <c r="H438" s="15"/>
      <c r="I438" s="15">
        <f>SUM(I439:I441)</f>
        <v>1484</v>
      </c>
      <c r="J438" s="15"/>
      <c r="K438" s="15"/>
      <c r="L438" s="15">
        <f>SUM(L439:L441)</f>
        <v>1402</v>
      </c>
      <c r="M438" s="15"/>
      <c r="N438" s="15"/>
      <c r="O438" s="15">
        <f>SUM(O439:O441)</f>
        <v>1071</v>
      </c>
    </row>
    <row r="439" spans="1:15" ht="13.5" customHeight="1" x14ac:dyDescent="0.25">
      <c r="A439" s="13"/>
      <c r="B439" s="13" t="s">
        <v>9</v>
      </c>
      <c r="C439" s="13"/>
      <c r="D439" s="13"/>
      <c r="E439" s="13"/>
      <c r="F439" s="17">
        <f>VLOOKUP("TX, N",'[1]Raw Data'!$B$2:$O$102,3,FALSE)</f>
        <v>425</v>
      </c>
      <c r="G439" s="17"/>
      <c r="H439" s="17"/>
      <c r="I439" s="17">
        <f>VLOOKUP("TX, N",'[1]Raw Data'!$B$2:$O$102,4,FALSE)</f>
        <v>765</v>
      </c>
      <c r="J439" s="17"/>
      <c r="K439" s="17"/>
      <c r="L439" s="17">
        <f>VLOOKUP("TX, N",'[1]Raw Data'!$B$2:$O$102,5,FALSE)</f>
        <v>747</v>
      </c>
      <c r="M439" s="17"/>
      <c r="N439" s="17"/>
      <c r="O439" s="17">
        <f>VLOOKUP("TX, N",'[1]Raw Data'!$B$2:$O$102,6,FALSE)</f>
        <v>440</v>
      </c>
    </row>
    <row r="440" spans="1:15" ht="13.5" customHeight="1" x14ac:dyDescent="0.25">
      <c r="A440" s="13"/>
      <c r="B440" s="13" t="s">
        <v>10</v>
      </c>
      <c r="C440" s="13"/>
      <c r="D440" s="13"/>
      <c r="E440" s="13"/>
      <c r="F440" s="17">
        <f>VLOOKUP("TX, N",'[1]Raw Data'!$B$2:$O$102,7,FALSE)</f>
        <v>446</v>
      </c>
      <c r="G440" s="17"/>
      <c r="H440" s="17"/>
      <c r="I440" s="17">
        <f>VLOOKUP("TX, N",'[1]Raw Data'!$B$2:$O$102,8,FALSE)</f>
        <v>278</v>
      </c>
      <c r="J440" s="17"/>
      <c r="K440" s="17"/>
      <c r="L440" s="17">
        <f>VLOOKUP("TX, N",'[1]Raw Data'!$B$2:$O$102,9,FALSE)</f>
        <v>227</v>
      </c>
      <c r="M440" s="17"/>
      <c r="N440" s="17"/>
      <c r="O440" s="17">
        <f>VLOOKUP("TX, N",'[1]Raw Data'!$B$2:$O$102,10,FALSE)</f>
        <v>496</v>
      </c>
    </row>
    <row r="441" spans="1:15" ht="13.5" customHeight="1" x14ac:dyDescent="0.25">
      <c r="A441" s="13"/>
      <c r="B441" s="13" t="s">
        <v>11</v>
      </c>
      <c r="C441" s="13"/>
      <c r="D441" s="13"/>
      <c r="E441" s="13"/>
      <c r="F441" s="17">
        <f>VLOOKUP("TX, N",'[1]Raw Data'!$B$2:$O$102,11,FALSE)</f>
        <v>120</v>
      </c>
      <c r="G441" s="17"/>
      <c r="H441" s="17"/>
      <c r="I441" s="17">
        <f>VLOOKUP("TX, N",'[1]Raw Data'!$B$2:$O$102,12,FALSE)</f>
        <v>441</v>
      </c>
      <c r="J441" s="17"/>
      <c r="K441" s="17"/>
      <c r="L441" s="17">
        <f>VLOOKUP("TX, N",'[1]Raw Data'!$B$2:$O$102,13,FALSE)</f>
        <v>428</v>
      </c>
      <c r="M441" s="17"/>
      <c r="N441" s="17"/>
      <c r="O441" s="17">
        <f>VLOOKUP("TX, N",'[1]Raw Data'!$B$2:$O$102,14,FALSE)</f>
        <v>135</v>
      </c>
    </row>
    <row r="442" spans="1:15" ht="12" customHeight="1" x14ac:dyDescent="0.25"/>
    <row r="443" spans="1:15" ht="13.5" customHeight="1" x14ac:dyDescent="0.25">
      <c r="A443" s="13"/>
      <c r="B443" s="13"/>
      <c r="C443" s="18" t="str">
        <f>IF(VLOOKUP("TX, S",'[1]Raw Data'!$B$2:$O$102,2,FALSE)="CDO","TX, S"&amp;" "&amp;CHAR(178),"TX, S")</f>
        <v>TX, S</v>
      </c>
      <c r="D443" s="13"/>
      <c r="F443" s="15">
        <f>SUM(F444:F446)</f>
        <v>3415</v>
      </c>
      <c r="G443" s="15"/>
      <c r="H443" s="15"/>
      <c r="I443" s="15">
        <f>SUM(I444:I446)</f>
        <v>18377</v>
      </c>
      <c r="J443" s="15"/>
      <c r="K443" s="15"/>
      <c r="L443" s="15">
        <f>SUM(L444:L446)</f>
        <v>19365</v>
      </c>
      <c r="M443" s="15"/>
      <c r="N443" s="15"/>
      <c r="O443" s="15">
        <f>SUM(O444:O446)</f>
        <v>2426</v>
      </c>
    </row>
    <row r="444" spans="1:15" ht="13.5" customHeight="1" x14ac:dyDescent="0.25">
      <c r="A444" s="13"/>
      <c r="B444" s="13" t="s">
        <v>9</v>
      </c>
      <c r="C444" s="13"/>
      <c r="D444" s="13"/>
      <c r="E444" s="13"/>
      <c r="F444" s="17">
        <f>VLOOKUP("TX, S",'[1]Raw Data'!$B$2:$O$102,3,FALSE)</f>
        <v>2392</v>
      </c>
      <c r="G444" s="17"/>
      <c r="H444" s="17"/>
      <c r="I444" s="17">
        <f>VLOOKUP("TX, S",'[1]Raw Data'!$B$2:$O$102,4,FALSE)</f>
        <v>16336</v>
      </c>
      <c r="J444" s="17"/>
      <c r="K444" s="17"/>
      <c r="L444" s="17">
        <f>VLOOKUP("TX, S",'[1]Raw Data'!$B$2:$O$102,5,FALSE)</f>
        <v>16930</v>
      </c>
      <c r="M444" s="17"/>
      <c r="N444" s="17"/>
      <c r="O444" s="17">
        <f>VLOOKUP("TX, S",'[1]Raw Data'!$B$2:$O$102,6,FALSE)</f>
        <v>1798</v>
      </c>
    </row>
    <row r="445" spans="1:15" ht="13.5" customHeight="1" x14ac:dyDescent="0.25">
      <c r="A445" s="13"/>
      <c r="B445" s="13" t="s">
        <v>10</v>
      </c>
      <c r="C445" s="13"/>
      <c r="D445" s="13"/>
      <c r="E445" s="13"/>
      <c r="F445" s="17">
        <f>VLOOKUP("TX, S",'[1]Raw Data'!$B$2:$O$102,7,FALSE)</f>
        <v>600</v>
      </c>
      <c r="G445" s="17"/>
      <c r="H445" s="17"/>
      <c r="I445" s="17">
        <f>VLOOKUP("TX, S",'[1]Raw Data'!$B$2:$O$102,8,FALSE)</f>
        <v>396</v>
      </c>
      <c r="J445" s="17"/>
      <c r="K445" s="17"/>
      <c r="L445" s="17">
        <f>VLOOKUP("TX, S",'[1]Raw Data'!$B$2:$O$102,9,FALSE)</f>
        <v>630</v>
      </c>
      <c r="M445" s="17"/>
      <c r="N445" s="17"/>
      <c r="O445" s="17">
        <f>VLOOKUP("TX, S",'[1]Raw Data'!$B$2:$O$102,10,FALSE)</f>
        <v>365</v>
      </c>
    </row>
    <row r="446" spans="1:15" ht="13.5" customHeight="1" x14ac:dyDescent="0.25">
      <c r="A446" s="13"/>
      <c r="B446" s="13" t="s">
        <v>11</v>
      </c>
      <c r="C446" s="13"/>
      <c r="D446" s="13"/>
      <c r="E446" s="13"/>
      <c r="F446" s="17">
        <f>VLOOKUP("TX, S",'[1]Raw Data'!$B$2:$O$102,11,FALSE)</f>
        <v>423</v>
      </c>
      <c r="G446" s="17"/>
      <c r="H446" s="17"/>
      <c r="I446" s="17">
        <f>VLOOKUP("TX, S",'[1]Raw Data'!$B$2:$O$102,12,FALSE)</f>
        <v>1645</v>
      </c>
      <c r="J446" s="17"/>
      <c r="K446" s="17"/>
      <c r="L446" s="17">
        <f>VLOOKUP("TX, S",'[1]Raw Data'!$B$2:$O$102,13,FALSE)</f>
        <v>1805</v>
      </c>
      <c r="M446" s="17"/>
      <c r="N446" s="17"/>
      <c r="O446" s="17">
        <f>VLOOKUP("TX, S",'[1]Raw Data'!$B$2:$O$102,14,FALSE)</f>
        <v>263</v>
      </c>
    </row>
    <row r="447" spans="1:15" ht="12" customHeight="1" x14ac:dyDescent="0.25"/>
    <row r="448" spans="1:15" ht="13.5" customHeight="1" x14ac:dyDescent="0.25">
      <c r="A448" s="13"/>
      <c r="B448" s="13"/>
      <c r="C448" s="18" t="str">
        <f>IF(VLOOKUP("TX, W",'[1]Raw Data'!$B$2:$O$102,2,FALSE)="CDO","TX, W"&amp;" "&amp;CHAR(178),"TX, W")</f>
        <v>TX, W</v>
      </c>
      <c r="D448" s="13"/>
      <c r="F448" s="15">
        <f>SUM(F449:F451)</f>
        <v>4071</v>
      </c>
      <c r="G448" s="15"/>
      <c r="H448" s="15"/>
      <c r="I448" s="15">
        <f>SUM(I449:I451)</f>
        <v>7458</v>
      </c>
      <c r="J448" s="15"/>
      <c r="K448" s="15"/>
      <c r="L448" s="15">
        <f>SUM(L449:L451)</f>
        <v>8733</v>
      </c>
      <c r="M448" s="15"/>
      <c r="N448" s="15"/>
      <c r="O448" s="15">
        <f>SUM(O449:O451)</f>
        <v>2796</v>
      </c>
    </row>
    <row r="449" spans="1:15" ht="13.5" customHeight="1" x14ac:dyDescent="0.25">
      <c r="A449" s="13"/>
      <c r="B449" s="13" t="s">
        <v>9</v>
      </c>
      <c r="C449" s="13"/>
      <c r="D449" s="13"/>
      <c r="E449" s="13"/>
      <c r="F449" s="17">
        <f>VLOOKUP("TX, W",'[1]Raw Data'!$B$2:$O$102,3,FALSE)</f>
        <v>2498</v>
      </c>
      <c r="G449" s="17"/>
      <c r="H449" s="17"/>
      <c r="I449" s="17">
        <f>VLOOKUP("TX, W",'[1]Raw Data'!$B$2:$O$102,4,FALSE)</f>
        <v>5807</v>
      </c>
      <c r="J449" s="17"/>
      <c r="K449" s="17"/>
      <c r="L449" s="17">
        <f>VLOOKUP("TX, W",'[1]Raw Data'!$B$2:$O$102,5,FALSE)</f>
        <v>6160</v>
      </c>
      <c r="M449" s="17"/>
      <c r="N449" s="17"/>
      <c r="O449" s="17">
        <f>VLOOKUP("TX, W",'[1]Raw Data'!$B$2:$O$102,6,FALSE)</f>
        <v>2145</v>
      </c>
    </row>
    <row r="450" spans="1:15" ht="13.5" customHeight="1" x14ac:dyDescent="0.25">
      <c r="A450" s="13"/>
      <c r="B450" s="13" t="s">
        <v>10</v>
      </c>
      <c r="C450" s="13"/>
      <c r="D450" s="13"/>
      <c r="E450" s="13"/>
      <c r="F450" s="17">
        <f>VLOOKUP("TX, W",'[1]Raw Data'!$B$2:$O$102,7,FALSE)</f>
        <v>557</v>
      </c>
      <c r="G450" s="17"/>
      <c r="H450" s="17"/>
      <c r="I450" s="17">
        <f>VLOOKUP("TX, W",'[1]Raw Data'!$B$2:$O$102,8,FALSE)</f>
        <v>295</v>
      </c>
      <c r="J450" s="17"/>
      <c r="K450" s="17"/>
      <c r="L450" s="17">
        <f>VLOOKUP("TX, W",'[1]Raw Data'!$B$2:$O$102,9,FALSE)</f>
        <v>557</v>
      </c>
      <c r="M450" s="17"/>
      <c r="N450" s="17"/>
      <c r="O450" s="17">
        <f>VLOOKUP("TX, W",'[1]Raw Data'!$B$2:$O$102,10,FALSE)</f>
        <v>295</v>
      </c>
    </row>
    <row r="451" spans="1:15" ht="13.5" customHeight="1" x14ac:dyDescent="0.25">
      <c r="A451" s="13"/>
      <c r="B451" s="13" t="s">
        <v>11</v>
      </c>
      <c r="C451" s="13"/>
      <c r="D451" s="13"/>
      <c r="E451" s="13"/>
      <c r="F451" s="17">
        <f>VLOOKUP("TX, W",'[1]Raw Data'!$B$2:$O$102,11,FALSE)</f>
        <v>1016</v>
      </c>
      <c r="G451" s="17"/>
      <c r="H451" s="17"/>
      <c r="I451" s="17">
        <f>VLOOKUP("TX, W",'[1]Raw Data'!$B$2:$O$102,12,FALSE)</f>
        <v>1356</v>
      </c>
      <c r="J451" s="17"/>
      <c r="K451" s="17"/>
      <c r="L451" s="17">
        <f>VLOOKUP("TX, W",'[1]Raw Data'!$B$2:$O$102,13,FALSE)</f>
        <v>2016</v>
      </c>
      <c r="M451" s="17"/>
      <c r="N451" s="17"/>
      <c r="O451" s="17">
        <f>VLOOKUP("TX, W",'[1]Raw Data'!$B$2:$O$102,14,FALSE)</f>
        <v>356</v>
      </c>
    </row>
    <row r="452" spans="1:15" ht="12" customHeight="1" x14ac:dyDescent="0.25"/>
    <row r="453" spans="1:15" ht="13.5" customHeight="1" x14ac:dyDescent="0.25">
      <c r="A453" s="13"/>
      <c r="B453" s="13"/>
      <c r="C453" s="18" t="str">
        <f>IF(VLOOKUP("UT",'[1]Raw Data'!$B$2:$O$102,2,FALSE)="CDO","UT"&amp;" "&amp;CHAR(178),"UT")</f>
        <v>UT</v>
      </c>
      <c r="D453" s="13"/>
      <c r="F453" s="15">
        <f>SUM(F454:F456)</f>
        <v>792</v>
      </c>
      <c r="G453" s="15"/>
      <c r="H453" s="15"/>
      <c r="I453" s="15">
        <f>SUM(I454:I456)</f>
        <v>1129</v>
      </c>
      <c r="J453" s="15"/>
      <c r="K453" s="15"/>
      <c r="L453" s="15">
        <f>SUM(L454:L456)</f>
        <v>996</v>
      </c>
      <c r="M453" s="15"/>
      <c r="N453" s="15"/>
      <c r="O453" s="15">
        <f>SUM(O454:O456)</f>
        <v>918</v>
      </c>
    </row>
    <row r="454" spans="1:15" ht="13.5" customHeight="1" x14ac:dyDescent="0.25">
      <c r="A454" s="13"/>
      <c r="B454" s="13" t="s">
        <v>9</v>
      </c>
      <c r="C454" s="13"/>
      <c r="D454" s="13"/>
      <c r="E454" s="13"/>
      <c r="F454" s="17">
        <f>VLOOKUP("UT",'[1]Raw Data'!$B$2:$O$102,3,FALSE)</f>
        <v>368</v>
      </c>
      <c r="G454" s="17"/>
      <c r="H454" s="17"/>
      <c r="I454" s="17">
        <f>VLOOKUP("UT",'[1]Raw Data'!$B$2:$O$102,4,FALSE)</f>
        <v>575</v>
      </c>
      <c r="J454" s="17"/>
      <c r="K454" s="17"/>
      <c r="L454" s="17">
        <f>VLOOKUP("UT",'[1]Raw Data'!$B$2:$O$102,5,FALSE)</f>
        <v>461</v>
      </c>
      <c r="M454" s="17"/>
      <c r="N454" s="17"/>
      <c r="O454" s="17">
        <f>VLOOKUP("UT",'[1]Raw Data'!$B$2:$O$102,6,FALSE)</f>
        <v>479</v>
      </c>
    </row>
    <row r="455" spans="1:15" ht="13.5" customHeight="1" x14ac:dyDescent="0.25">
      <c r="A455" s="13"/>
      <c r="B455" s="13" t="s">
        <v>10</v>
      </c>
      <c r="C455" s="13"/>
      <c r="D455" s="13"/>
      <c r="E455" s="13"/>
      <c r="F455" s="17">
        <f>VLOOKUP("UT",'[1]Raw Data'!$B$2:$O$102,7,FALSE)</f>
        <v>213</v>
      </c>
      <c r="G455" s="17"/>
      <c r="H455" s="17"/>
      <c r="I455" s="17">
        <f>VLOOKUP("UT",'[1]Raw Data'!$B$2:$O$102,8,FALSE)</f>
        <v>21</v>
      </c>
      <c r="J455" s="17"/>
      <c r="K455" s="17"/>
      <c r="L455" s="17">
        <f>VLOOKUP("UT",'[1]Raw Data'!$B$2:$O$102,9,FALSE)</f>
        <v>98</v>
      </c>
      <c r="M455" s="17"/>
      <c r="N455" s="17"/>
      <c r="O455" s="17">
        <f>VLOOKUP("UT",'[1]Raw Data'!$B$2:$O$102,10,FALSE)</f>
        <v>138</v>
      </c>
    </row>
    <row r="456" spans="1:15" ht="13.5" customHeight="1" x14ac:dyDescent="0.25">
      <c r="A456" s="13"/>
      <c r="B456" s="13" t="s">
        <v>11</v>
      </c>
      <c r="C456" s="13"/>
      <c r="D456" s="13"/>
      <c r="E456" s="13"/>
      <c r="F456" s="17">
        <f>VLOOKUP("UT",'[1]Raw Data'!$B$2:$O$102,11,FALSE)</f>
        <v>211</v>
      </c>
      <c r="G456" s="17"/>
      <c r="H456" s="17"/>
      <c r="I456" s="17">
        <f>VLOOKUP("UT",'[1]Raw Data'!$B$2:$O$102,12,FALSE)</f>
        <v>533</v>
      </c>
      <c r="J456" s="17"/>
      <c r="K456" s="17"/>
      <c r="L456" s="17">
        <f>VLOOKUP("UT",'[1]Raw Data'!$B$2:$O$102,13,FALSE)</f>
        <v>437</v>
      </c>
      <c r="M456" s="17"/>
      <c r="N456" s="17"/>
      <c r="O456" s="17">
        <f>VLOOKUP("UT",'[1]Raw Data'!$B$2:$O$102,14,FALSE)</f>
        <v>301</v>
      </c>
    </row>
    <row r="457" spans="1:15" ht="12" customHeight="1" x14ac:dyDescent="0.25"/>
    <row r="458" spans="1:15" ht="13.5" customHeight="1" x14ac:dyDescent="0.25">
      <c r="A458" s="13"/>
      <c r="B458" s="13"/>
      <c r="C458" s="18" t="str">
        <f>IF(VLOOKUP("VA, E",'[1]Raw Data'!$B$2:$O$102,2,FALSE)="CDO","VA, E"&amp;" "&amp;CHAR(178),"VA, E")</f>
        <v>VA, E</v>
      </c>
      <c r="D458" s="13"/>
      <c r="F458" s="15">
        <f>SUM(F459:F461)</f>
        <v>1226</v>
      </c>
      <c r="G458" s="15"/>
      <c r="H458" s="15"/>
      <c r="I458" s="15">
        <f>SUM(I459:I461)</f>
        <v>2099</v>
      </c>
      <c r="J458" s="15"/>
      <c r="K458" s="15"/>
      <c r="L458" s="15">
        <f>SUM(L459:L461)</f>
        <v>2190</v>
      </c>
      <c r="M458" s="15"/>
      <c r="N458" s="15"/>
      <c r="O458" s="15">
        <f>SUM(O459:O461)</f>
        <v>1151</v>
      </c>
    </row>
    <row r="459" spans="1:15" ht="13.5" customHeight="1" x14ac:dyDescent="0.25">
      <c r="A459" s="13"/>
      <c r="B459" s="13" t="s">
        <v>9</v>
      </c>
      <c r="C459" s="13"/>
      <c r="D459" s="13"/>
      <c r="E459" s="13"/>
      <c r="F459" s="17">
        <f>VLOOKUP("VA, E",'[1]Raw Data'!$B$2:$O$102,3,FALSE)</f>
        <v>321</v>
      </c>
      <c r="G459" s="17"/>
      <c r="H459" s="17"/>
      <c r="I459" s="17">
        <f>VLOOKUP("VA, E",'[1]Raw Data'!$B$2:$O$102,4,FALSE)</f>
        <v>906</v>
      </c>
      <c r="J459" s="17"/>
      <c r="K459" s="17"/>
      <c r="L459" s="17">
        <f>VLOOKUP("VA, E",'[1]Raw Data'!$B$2:$O$102,5,FALSE)</f>
        <v>908</v>
      </c>
      <c r="M459" s="17"/>
      <c r="N459" s="17"/>
      <c r="O459" s="17">
        <f>VLOOKUP("VA, E",'[1]Raw Data'!$B$2:$O$102,6,FALSE)</f>
        <v>338</v>
      </c>
    </row>
    <row r="460" spans="1:15" ht="13.5" customHeight="1" x14ac:dyDescent="0.25">
      <c r="A460" s="13"/>
      <c r="B460" s="13" t="s">
        <v>10</v>
      </c>
      <c r="C460" s="13"/>
      <c r="D460" s="13"/>
      <c r="E460" s="13"/>
      <c r="F460" s="17">
        <f>VLOOKUP("VA, E",'[1]Raw Data'!$B$2:$O$102,7,FALSE)</f>
        <v>367</v>
      </c>
      <c r="G460" s="17"/>
      <c r="H460" s="17"/>
      <c r="I460" s="17">
        <f>VLOOKUP("VA, E",'[1]Raw Data'!$B$2:$O$102,8,FALSE)</f>
        <v>124</v>
      </c>
      <c r="J460" s="17"/>
      <c r="K460" s="17"/>
      <c r="L460" s="17">
        <f>VLOOKUP("VA, E",'[1]Raw Data'!$B$2:$O$102,9,FALSE)</f>
        <v>233</v>
      </c>
      <c r="M460" s="17"/>
      <c r="N460" s="17"/>
      <c r="O460" s="17">
        <f>VLOOKUP("VA, E",'[1]Raw Data'!$B$2:$O$102,10,FALSE)</f>
        <v>258</v>
      </c>
    </row>
    <row r="461" spans="1:15" ht="13.5" customHeight="1" x14ac:dyDescent="0.25">
      <c r="A461" s="13"/>
      <c r="B461" s="13" t="s">
        <v>11</v>
      </c>
      <c r="C461" s="13"/>
      <c r="D461" s="13"/>
      <c r="E461" s="13"/>
      <c r="F461" s="17">
        <f>VLOOKUP("VA, E",'[1]Raw Data'!$B$2:$O$102,11,FALSE)</f>
        <v>538</v>
      </c>
      <c r="G461" s="17"/>
      <c r="H461" s="17"/>
      <c r="I461" s="17">
        <f>VLOOKUP("VA, E",'[1]Raw Data'!$B$2:$O$102,12,FALSE)</f>
        <v>1069</v>
      </c>
      <c r="J461" s="17"/>
      <c r="K461" s="17"/>
      <c r="L461" s="17">
        <f>VLOOKUP("VA, E",'[1]Raw Data'!$B$2:$O$102,13,FALSE)</f>
        <v>1049</v>
      </c>
      <c r="M461" s="17"/>
      <c r="N461" s="17"/>
      <c r="O461" s="17">
        <f>VLOOKUP("VA, E",'[1]Raw Data'!$B$2:$O$102,14,FALSE)</f>
        <v>555</v>
      </c>
    </row>
    <row r="462" spans="1:15" ht="12" customHeight="1" x14ac:dyDescent="0.25"/>
    <row r="463" spans="1:15" ht="13.5" customHeight="1" x14ac:dyDescent="0.25">
      <c r="A463" s="13"/>
      <c r="B463" s="13"/>
      <c r="C463" s="18" t="str">
        <f>IF(VLOOKUP("VA, W",'[1]Raw Data'!$B$2:$O$102,2,FALSE)="CDO","VA, W"&amp;" "&amp;CHAR(178),"VA, W")</f>
        <v>VA, W</v>
      </c>
      <c r="D463" s="13"/>
      <c r="F463" s="15">
        <f>SUM(F464:F466)</f>
        <v>430</v>
      </c>
      <c r="G463" s="15"/>
      <c r="H463" s="15"/>
      <c r="I463" s="15">
        <f>SUM(I464:I466)</f>
        <v>485</v>
      </c>
      <c r="J463" s="15"/>
      <c r="K463" s="15"/>
      <c r="L463" s="15">
        <f>SUM(L464:L466)</f>
        <v>628</v>
      </c>
      <c r="M463" s="15"/>
      <c r="N463" s="15"/>
      <c r="O463" s="15">
        <f>SUM(O464:O466)</f>
        <v>288</v>
      </c>
    </row>
    <row r="464" spans="1:15" ht="13.5" customHeight="1" x14ac:dyDescent="0.25">
      <c r="A464" s="13"/>
      <c r="B464" s="13" t="s">
        <v>9</v>
      </c>
      <c r="C464" s="13"/>
      <c r="D464" s="13"/>
      <c r="E464" s="13"/>
      <c r="F464" s="17">
        <f>VLOOKUP("VA, W",'[1]Raw Data'!$B$2:$O$102,3,FALSE)</f>
        <v>113</v>
      </c>
      <c r="G464" s="17"/>
      <c r="H464" s="17"/>
      <c r="I464" s="17">
        <f>VLOOKUP("VA, W",'[1]Raw Data'!$B$2:$O$102,4,FALSE)</f>
        <v>187</v>
      </c>
      <c r="J464" s="17"/>
      <c r="K464" s="17"/>
      <c r="L464" s="17">
        <f>VLOOKUP("VA, W",'[1]Raw Data'!$B$2:$O$102,5,FALSE)</f>
        <v>208</v>
      </c>
      <c r="M464" s="17"/>
      <c r="N464" s="17"/>
      <c r="O464" s="17">
        <f>VLOOKUP("VA, W",'[1]Raw Data'!$B$2:$O$102,6,FALSE)</f>
        <v>95</v>
      </c>
    </row>
    <row r="465" spans="1:15" ht="13.5" customHeight="1" x14ac:dyDescent="0.25">
      <c r="A465" s="13"/>
      <c r="B465" s="13" t="s">
        <v>10</v>
      </c>
      <c r="C465" s="13"/>
      <c r="D465" s="13"/>
      <c r="E465" s="13"/>
      <c r="F465" s="17">
        <f>VLOOKUP("VA, W",'[1]Raw Data'!$B$2:$O$102,7,FALSE)</f>
        <v>191</v>
      </c>
      <c r="G465" s="17"/>
      <c r="H465" s="17"/>
      <c r="I465" s="17">
        <f>VLOOKUP("VA, W",'[1]Raw Data'!$B$2:$O$102,8,FALSE)</f>
        <v>65</v>
      </c>
      <c r="J465" s="17"/>
      <c r="K465" s="17"/>
      <c r="L465" s="17">
        <f>VLOOKUP("VA, W",'[1]Raw Data'!$B$2:$O$102,9,FALSE)</f>
        <v>158</v>
      </c>
      <c r="M465" s="17"/>
      <c r="N465" s="17"/>
      <c r="O465" s="17">
        <f>VLOOKUP("VA, W",'[1]Raw Data'!$B$2:$O$102,10,FALSE)</f>
        <v>99</v>
      </c>
    </row>
    <row r="466" spans="1:15" ht="13.5" customHeight="1" x14ac:dyDescent="0.25">
      <c r="A466" s="13"/>
      <c r="B466" s="13" t="s">
        <v>11</v>
      </c>
      <c r="C466" s="13"/>
      <c r="D466" s="13"/>
      <c r="E466" s="13"/>
      <c r="F466" s="17">
        <f>VLOOKUP("VA, W",'[1]Raw Data'!$B$2:$O$102,11,FALSE)</f>
        <v>126</v>
      </c>
      <c r="G466" s="17"/>
      <c r="H466" s="17"/>
      <c r="I466" s="17">
        <f>VLOOKUP("VA, W",'[1]Raw Data'!$B$2:$O$102,12,FALSE)</f>
        <v>233</v>
      </c>
      <c r="J466" s="17"/>
      <c r="K466" s="17"/>
      <c r="L466" s="17">
        <f>VLOOKUP("VA, W",'[1]Raw Data'!$B$2:$O$102,13,FALSE)</f>
        <v>262</v>
      </c>
      <c r="M466" s="17"/>
      <c r="N466" s="17"/>
      <c r="O466" s="17">
        <f>VLOOKUP("VA, W",'[1]Raw Data'!$B$2:$O$102,14,FALSE)</f>
        <v>94</v>
      </c>
    </row>
    <row r="467" spans="1:15" ht="12" customHeight="1" x14ac:dyDescent="0.25"/>
    <row r="468" spans="1:15" ht="13.5" customHeight="1" x14ac:dyDescent="0.25">
      <c r="A468" s="13"/>
      <c r="B468" s="13"/>
      <c r="C468" s="18" t="str">
        <f>IF(VLOOKUP("VI",'[1]Raw Data'!$B$2:$O$102,2,FALSE)="CDO","VI"&amp;" "&amp;CHAR(178),"VI")</f>
        <v>VI</v>
      </c>
      <c r="D468" s="13"/>
      <c r="F468" s="15">
        <f>SUM(F469:F471)</f>
        <v>76</v>
      </c>
      <c r="G468" s="15"/>
      <c r="H468" s="15"/>
      <c r="I468" s="15">
        <f>SUM(I469:I471)</f>
        <v>98</v>
      </c>
      <c r="J468" s="15"/>
      <c r="K468" s="15"/>
      <c r="L468" s="15">
        <f>SUM(L469:L471)</f>
        <v>70</v>
      </c>
      <c r="M468" s="15"/>
      <c r="N468" s="15"/>
      <c r="O468" s="15">
        <f>SUM(O469:O471)</f>
        <v>96</v>
      </c>
    </row>
    <row r="469" spans="1:15" ht="13.5" customHeight="1" x14ac:dyDescent="0.25">
      <c r="A469" s="13"/>
      <c r="B469" s="13" t="s">
        <v>9</v>
      </c>
      <c r="C469" s="13"/>
      <c r="D469" s="13"/>
      <c r="E469" s="13"/>
      <c r="F469" s="17">
        <f>VLOOKUP("VI",'[1]Raw Data'!$B$2:$O$102,3,FALSE)</f>
        <v>34</v>
      </c>
      <c r="G469" s="17"/>
      <c r="H469" s="17"/>
      <c r="I469" s="17">
        <f>VLOOKUP("VI",'[1]Raw Data'!$B$2:$O$102,4,FALSE)</f>
        <v>59</v>
      </c>
      <c r="J469" s="17"/>
      <c r="K469" s="17"/>
      <c r="L469" s="17">
        <f>VLOOKUP("VI",'[1]Raw Data'!$B$2:$O$102,5,FALSE)</f>
        <v>39</v>
      </c>
      <c r="M469" s="17"/>
      <c r="N469" s="17"/>
      <c r="O469" s="17">
        <f>VLOOKUP("VI",'[1]Raw Data'!$B$2:$O$102,6,FALSE)</f>
        <v>49</v>
      </c>
    </row>
    <row r="470" spans="1:15" ht="13.5" customHeight="1" x14ac:dyDescent="0.25">
      <c r="A470" s="13"/>
      <c r="B470" s="13" t="s">
        <v>10</v>
      </c>
      <c r="C470" s="13"/>
      <c r="D470" s="13"/>
      <c r="E470" s="13"/>
      <c r="F470" s="17">
        <f>VLOOKUP("VI",'[1]Raw Data'!$B$2:$O$102,7,FALSE)</f>
        <v>21</v>
      </c>
      <c r="G470" s="17"/>
      <c r="H470" s="17"/>
      <c r="I470" s="17">
        <f>VLOOKUP("VI",'[1]Raw Data'!$B$2:$O$102,8,FALSE)</f>
        <v>8</v>
      </c>
      <c r="J470" s="17"/>
      <c r="K470" s="17"/>
      <c r="L470" s="17">
        <f>VLOOKUP("VI",'[1]Raw Data'!$B$2:$O$102,9,FALSE)</f>
        <v>8</v>
      </c>
      <c r="M470" s="17"/>
      <c r="N470" s="17"/>
      <c r="O470" s="17">
        <f>VLOOKUP("VI",'[1]Raw Data'!$B$2:$O$102,10,FALSE)</f>
        <v>21</v>
      </c>
    </row>
    <row r="471" spans="1:15" ht="13.5" customHeight="1" x14ac:dyDescent="0.25">
      <c r="A471" s="13"/>
      <c r="B471" s="13" t="s">
        <v>11</v>
      </c>
      <c r="C471" s="13"/>
      <c r="D471" s="13"/>
      <c r="E471" s="13"/>
      <c r="F471" s="17">
        <f>VLOOKUP("VI",'[1]Raw Data'!$B$2:$O$102,11,FALSE)</f>
        <v>21</v>
      </c>
      <c r="G471" s="17"/>
      <c r="H471" s="17"/>
      <c r="I471" s="17">
        <f>VLOOKUP("VI",'[1]Raw Data'!$B$2:$O$102,12,FALSE)</f>
        <v>31</v>
      </c>
      <c r="J471" s="17"/>
      <c r="K471" s="17"/>
      <c r="L471" s="17">
        <f>VLOOKUP("VI",'[1]Raw Data'!$B$2:$O$102,13,FALSE)</f>
        <v>23</v>
      </c>
      <c r="M471" s="17"/>
      <c r="N471" s="17"/>
      <c r="O471" s="17">
        <f>VLOOKUP("VI",'[1]Raw Data'!$B$2:$O$102,14,FALSE)</f>
        <v>26</v>
      </c>
    </row>
    <row r="472" spans="1:15" ht="12" customHeight="1" x14ac:dyDescent="0.25"/>
    <row r="473" spans="1:15" ht="13.5" customHeight="1" x14ac:dyDescent="0.25">
      <c r="A473" s="13"/>
      <c r="B473" s="13"/>
      <c r="C473" s="18" t="str">
        <f>IF(VLOOKUP("VT",'[1]Raw Data'!$B$2:$O$102,2,FALSE)="CDO","VT"&amp;" "&amp;CHAR(178),"VT")</f>
        <v>VT</v>
      </c>
      <c r="D473" s="13"/>
      <c r="F473" s="15">
        <f>SUM(F474:F476)</f>
        <v>144</v>
      </c>
      <c r="G473" s="15"/>
      <c r="H473" s="15"/>
      <c r="I473" s="15">
        <f>SUM(I474:I476)</f>
        <v>142</v>
      </c>
      <c r="J473" s="15"/>
      <c r="K473" s="15"/>
      <c r="L473" s="15">
        <f>SUM(L474:L476)</f>
        <v>177</v>
      </c>
      <c r="M473" s="15"/>
      <c r="N473" s="15"/>
      <c r="O473" s="15">
        <f>SUM(O474:O476)</f>
        <v>111</v>
      </c>
    </row>
    <row r="474" spans="1:15" ht="13.5" customHeight="1" x14ac:dyDescent="0.25">
      <c r="A474" s="13"/>
      <c r="B474" s="13" t="s">
        <v>9</v>
      </c>
      <c r="C474" s="13"/>
      <c r="D474" s="13"/>
      <c r="E474" s="13"/>
      <c r="F474" s="17">
        <f>VLOOKUP("VT",'[1]Raw Data'!$B$2:$O$102,3,FALSE)</f>
        <v>70</v>
      </c>
      <c r="G474" s="17"/>
      <c r="H474" s="17"/>
      <c r="I474" s="17">
        <f>VLOOKUP("VT",'[1]Raw Data'!$B$2:$O$102,4,FALSE)</f>
        <v>65</v>
      </c>
      <c r="J474" s="17"/>
      <c r="K474" s="17"/>
      <c r="L474" s="17">
        <f>VLOOKUP("VT",'[1]Raw Data'!$B$2:$O$102,5,FALSE)</f>
        <v>87</v>
      </c>
      <c r="M474" s="17"/>
      <c r="N474" s="17"/>
      <c r="O474" s="17">
        <f>VLOOKUP("VT",'[1]Raw Data'!$B$2:$O$102,6,FALSE)</f>
        <v>49</v>
      </c>
    </row>
    <row r="475" spans="1:15" ht="13.5" customHeight="1" x14ac:dyDescent="0.25">
      <c r="A475" s="13"/>
      <c r="B475" s="13" t="s">
        <v>10</v>
      </c>
      <c r="C475" s="13"/>
      <c r="D475" s="13"/>
      <c r="E475" s="13"/>
      <c r="F475" s="17">
        <f>VLOOKUP("VT",'[1]Raw Data'!$B$2:$O$102,7,FALSE)</f>
        <v>33</v>
      </c>
      <c r="G475" s="17"/>
      <c r="H475" s="17"/>
      <c r="I475" s="17">
        <f>VLOOKUP("VT",'[1]Raw Data'!$B$2:$O$102,8,FALSE)</f>
        <v>7</v>
      </c>
      <c r="J475" s="17"/>
      <c r="K475" s="17"/>
      <c r="L475" s="17">
        <f>VLOOKUP("VT",'[1]Raw Data'!$B$2:$O$102,9,FALSE)</f>
        <v>27</v>
      </c>
      <c r="M475" s="17"/>
      <c r="N475" s="17"/>
      <c r="O475" s="17">
        <f>VLOOKUP("VT",'[1]Raw Data'!$B$2:$O$102,10,FALSE)</f>
        <v>10</v>
      </c>
    </row>
    <row r="476" spans="1:15" ht="13.5" customHeight="1" x14ac:dyDescent="0.25">
      <c r="A476" s="13"/>
      <c r="B476" s="13" t="s">
        <v>11</v>
      </c>
      <c r="C476" s="13"/>
      <c r="D476" s="13"/>
      <c r="E476" s="13"/>
      <c r="F476" s="17">
        <f>VLOOKUP("VT",'[1]Raw Data'!$B$2:$O$102,11,FALSE)</f>
        <v>41</v>
      </c>
      <c r="G476" s="17"/>
      <c r="H476" s="17"/>
      <c r="I476" s="17">
        <f>VLOOKUP("VT",'[1]Raw Data'!$B$2:$O$102,12,FALSE)</f>
        <v>70</v>
      </c>
      <c r="J476" s="17"/>
      <c r="K476" s="17"/>
      <c r="L476" s="17">
        <f>VLOOKUP("VT",'[1]Raw Data'!$B$2:$O$102,13,FALSE)</f>
        <v>63</v>
      </c>
      <c r="M476" s="17"/>
      <c r="N476" s="17"/>
      <c r="O476" s="17">
        <f>VLOOKUP("VT",'[1]Raw Data'!$B$2:$O$102,14,FALSE)</f>
        <v>52</v>
      </c>
    </row>
    <row r="477" spans="1:15" ht="12" customHeight="1" x14ac:dyDescent="0.25"/>
    <row r="478" spans="1:15" ht="13.5" customHeight="1" x14ac:dyDescent="0.25">
      <c r="A478" s="13"/>
      <c r="B478" s="13"/>
      <c r="C478" s="18" t="str">
        <f>IF(VLOOKUP("WA, E",'[1]Raw Data'!$B$2:$O$102,2,FALSE)="CDO","WA, E"&amp;" "&amp;CHAR(178),"WA, E")</f>
        <v>WA, E ²</v>
      </c>
      <c r="D478" s="13"/>
      <c r="F478" s="15">
        <f>SUM(F479:F481)</f>
        <v>497</v>
      </c>
      <c r="G478" s="15"/>
      <c r="H478" s="15"/>
      <c r="I478" s="15">
        <f>SUM(I479:I481)</f>
        <v>1058</v>
      </c>
      <c r="J478" s="15"/>
      <c r="K478" s="15"/>
      <c r="L478" s="15">
        <f>SUM(L479:L481)</f>
        <v>1156</v>
      </c>
      <c r="M478" s="15"/>
      <c r="N478" s="15"/>
      <c r="O478" s="15">
        <f>SUM(O479:O481)</f>
        <v>399</v>
      </c>
    </row>
    <row r="479" spans="1:15" ht="13.5" customHeight="1" x14ac:dyDescent="0.25">
      <c r="A479" s="13"/>
      <c r="B479" s="13" t="s">
        <v>9</v>
      </c>
      <c r="C479" s="13"/>
      <c r="D479" s="13"/>
      <c r="E479" s="13"/>
      <c r="F479" s="17">
        <f>VLOOKUP("WA, E",'[1]Raw Data'!$B$2:$O$102,3,FALSE)</f>
        <v>200</v>
      </c>
      <c r="G479" s="17"/>
      <c r="H479" s="17"/>
      <c r="I479" s="17">
        <f>VLOOKUP("WA, E",'[1]Raw Data'!$B$2:$O$102,4,FALSE)</f>
        <v>303</v>
      </c>
      <c r="J479" s="17"/>
      <c r="K479" s="17"/>
      <c r="L479" s="17">
        <f>VLOOKUP("WA, E",'[1]Raw Data'!$B$2:$O$102,5,FALSE)</f>
        <v>332</v>
      </c>
      <c r="M479" s="17"/>
      <c r="N479" s="17"/>
      <c r="O479" s="17">
        <f>VLOOKUP("WA, E",'[1]Raw Data'!$B$2:$O$102,6,FALSE)</f>
        <v>171</v>
      </c>
    </row>
    <row r="480" spans="1:15" ht="13.5" customHeight="1" x14ac:dyDescent="0.25">
      <c r="A480" s="13"/>
      <c r="B480" s="13" t="s">
        <v>10</v>
      </c>
      <c r="C480" s="13"/>
      <c r="D480" s="13"/>
      <c r="E480" s="13"/>
      <c r="F480" s="17">
        <f>VLOOKUP("WA, E",'[1]Raw Data'!$B$2:$O$102,7,FALSE)</f>
        <v>75</v>
      </c>
      <c r="G480" s="17"/>
      <c r="H480" s="17"/>
      <c r="I480" s="17">
        <f>VLOOKUP("WA, E",'[1]Raw Data'!$B$2:$O$102,8,FALSE)</f>
        <v>38</v>
      </c>
      <c r="J480" s="17"/>
      <c r="K480" s="17"/>
      <c r="L480" s="17">
        <f>VLOOKUP("WA, E",'[1]Raw Data'!$B$2:$O$102,9,FALSE)</f>
        <v>67</v>
      </c>
      <c r="M480" s="17"/>
      <c r="N480" s="17"/>
      <c r="O480" s="17">
        <f>VLOOKUP("WA, E",'[1]Raw Data'!$B$2:$O$102,10,FALSE)</f>
        <v>46</v>
      </c>
    </row>
    <row r="481" spans="1:15" ht="13.5" customHeight="1" x14ac:dyDescent="0.25">
      <c r="A481" s="13"/>
      <c r="B481" s="13" t="s">
        <v>11</v>
      </c>
      <c r="C481" s="13"/>
      <c r="D481" s="13"/>
      <c r="E481" s="13"/>
      <c r="F481" s="17">
        <f>VLOOKUP("WA, E",'[1]Raw Data'!$B$2:$O$102,11,FALSE)</f>
        <v>222</v>
      </c>
      <c r="G481" s="17"/>
      <c r="H481" s="17"/>
      <c r="I481" s="17">
        <f>VLOOKUP("WA, E",'[1]Raw Data'!$B$2:$O$102,12,FALSE)</f>
        <v>717</v>
      </c>
      <c r="J481" s="17"/>
      <c r="K481" s="17"/>
      <c r="L481" s="17">
        <f>VLOOKUP("WA, E",'[1]Raw Data'!$B$2:$O$102,13,FALSE)</f>
        <v>757</v>
      </c>
      <c r="M481" s="17"/>
      <c r="N481" s="17"/>
      <c r="O481" s="17">
        <f>VLOOKUP("WA, E",'[1]Raw Data'!$B$2:$O$102,14,FALSE)</f>
        <v>182</v>
      </c>
    </row>
    <row r="482" spans="1:15" ht="12" customHeight="1" x14ac:dyDescent="0.25"/>
    <row r="483" spans="1:15" ht="13.5" customHeight="1" x14ac:dyDescent="0.25">
      <c r="A483" s="13"/>
      <c r="B483" s="13"/>
      <c r="C483" s="18" t="str">
        <f>IF(VLOOKUP("WA, W",'[1]Raw Data'!$B$2:$O$102,2,FALSE)="CDO","WA, W"&amp;" "&amp;CHAR(178),"WA, W")</f>
        <v>WA, W</v>
      </c>
      <c r="D483" s="13"/>
      <c r="F483" s="15">
        <f>SUM(F484:F486)</f>
        <v>605</v>
      </c>
      <c r="G483" s="15"/>
      <c r="H483" s="15"/>
      <c r="I483" s="15">
        <f>SUM(I484:I486)</f>
        <v>1418</v>
      </c>
      <c r="J483" s="15"/>
      <c r="K483" s="15"/>
      <c r="L483" s="15">
        <f>SUM(L484:L486)</f>
        <v>1558</v>
      </c>
      <c r="M483" s="15"/>
      <c r="N483" s="15"/>
      <c r="O483" s="15">
        <f>SUM(O484:O486)</f>
        <v>464</v>
      </c>
    </row>
    <row r="484" spans="1:15" ht="13.5" customHeight="1" x14ac:dyDescent="0.25">
      <c r="A484" s="13"/>
      <c r="B484" s="13" t="s">
        <v>9</v>
      </c>
      <c r="C484" s="13"/>
      <c r="D484" s="13"/>
      <c r="E484" s="13"/>
      <c r="F484" s="17">
        <f>VLOOKUP("WA, W",'[1]Raw Data'!$B$2:$O$102,3,FALSE)</f>
        <v>236</v>
      </c>
      <c r="G484" s="17"/>
      <c r="H484" s="17"/>
      <c r="I484" s="17">
        <f>VLOOKUP("WA, W",'[1]Raw Data'!$B$2:$O$102,4,FALSE)</f>
        <v>590</v>
      </c>
      <c r="J484" s="17"/>
      <c r="K484" s="17"/>
      <c r="L484" s="17">
        <f>VLOOKUP("WA, W",'[1]Raw Data'!$B$2:$O$102,5,FALSE)</f>
        <v>627</v>
      </c>
      <c r="M484" s="17"/>
      <c r="N484" s="17"/>
      <c r="O484" s="17">
        <f>VLOOKUP("WA, W",'[1]Raw Data'!$B$2:$O$102,6,FALSE)</f>
        <v>199</v>
      </c>
    </row>
    <row r="485" spans="1:15" ht="13.5" customHeight="1" x14ac:dyDescent="0.25">
      <c r="A485" s="13"/>
      <c r="B485" s="13" t="s">
        <v>10</v>
      </c>
      <c r="C485" s="13"/>
      <c r="D485" s="13"/>
      <c r="E485" s="13"/>
      <c r="F485" s="17">
        <f>VLOOKUP("WA, W",'[1]Raw Data'!$B$2:$O$102,7,FALSE)</f>
        <v>84</v>
      </c>
      <c r="G485" s="17"/>
      <c r="H485" s="17"/>
      <c r="I485" s="17">
        <f>VLOOKUP("WA, W",'[1]Raw Data'!$B$2:$O$102,8,FALSE)</f>
        <v>58</v>
      </c>
      <c r="J485" s="17"/>
      <c r="K485" s="17"/>
      <c r="L485" s="17">
        <f>VLOOKUP("WA, W",'[1]Raw Data'!$B$2:$O$102,9,FALSE)</f>
        <v>109</v>
      </c>
      <c r="M485" s="17"/>
      <c r="N485" s="17"/>
      <c r="O485" s="17">
        <f>VLOOKUP("WA, W",'[1]Raw Data'!$B$2:$O$102,10,FALSE)</f>
        <v>34</v>
      </c>
    </row>
    <row r="486" spans="1:15" ht="13.5" customHeight="1" x14ac:dyDescent="0.25">
      <c r="A486" s="13"/>
      <c r="B486" s="13" t="s">
        <v>11</v>
      </c>
      <c r="C486" s="13"/>
      <c r="D486" s="13"/>
      <c r="E486" s="13"/>
      <c r="F486" s="17">
        <f>VLOOKUP("WA, W",'[1]Raw Data'!$B$2:$O$102,11,FALSE)</f>
        <v>285</v>
      </c>
      <c r="G486" s="17"/>
      <c r="H486" s="17"/>
      <c r="I486" s="17">
        <f>VLOOKUP("WA, W",'[1]Raw Data'!$B$2:$O$102,12,FALSE)</f>
        <v>770</v>
      </c>
      <c r="J486" s="17"/>
      <c r="K486" s="17"/>
      <c r="L486" s="17">
        <f>VLOOKUP("WA, W",'[1]Raw Data'!$B$2:$O$102,13,FALSE)</f>
        <v>822</v>
      </c>
      <c r="M486" s="17"/>
      <c r="N486" s="17"/>
      <c r="O486" s="17">
        <f>VLOOKUP("WA, W",'[1]Raw Data'!$B$2:$O$102,14,FALSE)</f>
        <v>231</v>
      </c>
    </row>
    <row r="487" spans="1:15" ht="12" customHeight="1" x14ac:dyDescent="0.25"/>
    <row r="488" spans="1:15" ht="13.5" customHeight="1" x14ac:dyDescent="0.25">
      <c r="A488" s="13"/>
      <c r="B488" s="13"/>
      <c r="C488" s="18" t="str">
        <f>IF(VLOOKUP("TOT: WI, E/W",'[1]Raw Data'!$B$2:$O$102,2,FALSE)="CDO","TOT: WI, E/W"&amp;" "&amp;CHAR(178),"TOT: WI, E/W")</f>
        <v>TOT: WI, E/W ²</v>
      </c>
      <c r="D488" s="13"/>
      <c r="F488" s="15">
        <f>IF(SUM(F489:F491)-SUM(F493,F498)=0,SUM(F489:F491),999999999)</f>
        <v>807</v>
      </c>
      <c r="G488" s="15"/>
      <c r="H488" s="15"/>
      <c r="I488" s="15">
        <f>IF(SUM(I489:I491)-SUM(I493,I498)=0,SUM(I489:I491),999999999)</f>
        <v>713</v>
      </c>
      <c r="J488" s="15"/>
      <c r="K488" s="15"/>
      <c r="L488" s="15">
        <f>IF(SUM(L489:L491)-SUM(L493,L498)=0,SUM(L489:L491),999999999)</f>
        <v>1177</v>
      </c>
      <c r="M488" s="15"/>
      <c r="N488" s="15"/>
      <c r="O488" s="15">
        <f>IF(SUM(O489:O491)-SUM(O493,O498)=0,SUM(O489:O491),999999999)</f>
        <v>343</v>
      </c>
    </row>
    <row r="489" spans="1:15" ht="13.5" customHeight="1" x14ac:dyDescent="0.25">
      <c r="A489" s="13"/>
      <c r="B489" s="13" t="s">
        <v>9</v>
      </c>
      <c r="C489" s="13"/>
      <c r="D489" s="13"/>
      <c r="E489" s="13"/>
      <c r="F489" s="17">
        <f>VLOOKUP("TOT: WI, E/W",'[1]Raw Data'!$B$2:$O$102,3,FALSE)</f>
        <v>146</v>
      </c>
      <c r="G489" s="17"/>
      <c r="H489" s="17"/>
      <c r="I489" s="17">
        <f>VLOOKUP("TOT: WI, E/W",'[1]Raw Data'!$B$2:$O$102,4,FALSE)</f>
        <v>218</v>
      </c>
      <c r="J489" s="17"/>
      <c r="K489" s="17"/>
      <c r="L489" s="17">
        <f>VLOOKUP("TOT: WI, E/W",'[1]Raw Data'!$B$2:$O$102,5,FALSE)</f>
        <v>204</v>
      </c>
      <c r="M489" s="17"/>
      <c r="N489" s="17"/>
      <c r="O489" s="17">
        <f>VLOOKUP("TOT: WI, E/W",'[1]Raw Data'!$B$2:$O$102,6,FALSE)</f>
        <v>161</v>
      </c>
    </row>
    <row r="490" spans="1:15" ht="13.5" customHeight="1" x14ac:dyDescent="0.25">
      <c r="A490" s="13"/>
      <c r="B490" s="13" t="s">
        <v>10</v>
      </c>
      <c r="C490" s="13"/>
      <c r="D490" s="13"/>
      <c r="E490" s="13"/>
      <c r="F490" s="17">
        <f>VLOOKUP("TOT: WI, E/W",'[1]Raw Data'!$B$2:$O$102,7,FALSE)</f>
        <v>96</v>
      </c>
      <c r="G490" s="17"/>
      <c r="H490" s="17"/>
      <c r="I490" s="17">
        <f>VLOOKUP("TOT: WI, E/W",'[1]Raw Data'!$B$2:$O$102,8,FALSE)</f>
        <v>45</v>
      </c>
      <c r="J490" s="17"/>
      <c r="K490" s="17"/>
      <c r="L490" s="17">
        <f>VLOOKUP("TOT: WI, E/W",'[1]Raw Data'!$B$2:$O$102,9,FALSE)</f>
        <v>110</v>
      </c>
      <c r="M490" s="17"/>
      <c r="N490" s="17"/>
      <c r="O490" s="17">
        <f>VLOOKUP("TOT: WI, E/W",'[1]Raw Data'!$B$2:$O$102,10,FALSE)</f>
        <v>31</v>
      </c>
    </row>
    <row r="491" spans="1:15" ht="13.5" customHeight="1" x14ac:dyDescent="0.25">
      <c r="A491" s="13"/>
      <c r="B491" s="13" t="s">
        <v>11</v>
      </c>
      <c r="C491" s="13"/>
      <c r="D491" s="13"/>
      <c r="E491" s="13"/>
      <c r="F491" s="17">
        <f>VLOOKUP("TOT: WI, E/W",'[1]Raw Data'!$B$2:$O$102,11,FALSE)</f>
        <v>565</v>
      </c>
      <c r="G491" s="17"/>
      <c r="H491" s="17"/>
      <c r="I491" s="17">
        <f>VLOOKUP("TOT: WI, E/W",'[1]Raw Data'!$B$2:$O$102,12,FALSE)</f>
        <v>450</v>
      </c>
      <c r="J491" s="17"/>
      <c r="K491" s="17"/>
      <c r="L491" s="17">
        <f>VLOOKUP("TOT: WI, E/W",'[1]Raw Data'!$B$2:$O$102,13,FALSE)</f>
        <v>863</v>
      </c>
      <c r="M491" s="17"/>
      <c r="N491" s="17"/>
      <c r="O491" s="17">
        <f>VLOOKUP("TOT: WI, E/W",'[1]Raw Data'!$B$2:$O$102,14,FALSE)</f>
        <v>151</v>
      </c>
    </row>
    <row r="492" spans="1:15" ht="12" customHeight="1" x14ac:dyDescent="0.25"/>
    <row r="493" spans="1:15" ht="13.5" customHeight="1" x14ac:dyDescent="0.25">
      <c r="A493" s="13"/>
      <c r="B493" s="13"/>
      <c r="C493" s="18" t="str">
        <f>IF(VLOOKUP("   WI, E",'[1]Raw Data'!$B$2:$O$102,2,FALSE)="CDO","WI, E"&amp;" "&amp;CHAR(178),"WI, E")</f>
        <v>WI, E ²</v>
      </c>
      <c r="D493" s="13"/>
      <c r="F493" s="15">
        <f>SUM(F494:F496)</f>
        <v>585</v>
      </c>
      <c r="G493" s="15"/>
      <c r="H493" s="15"/>
      <c r="I493" s="15">
        <f>SUM(I494:I496)</f>
        <v>537</v>
      </c>
      <c r="J493" s="15"/>
      <c r="K493" s="15"/>
      <c r="L493" s="15">
        <f>SUM(L494:L496)</f>
        <v>862</v>
      </c>
      <c r="M493" s="15"/>
      <c r="N493" s="15"/>
      <c r="O493" s="15">
        <f>SUM(O494:O496)</f>
        <v>261</v>
      </c>
    </row>
    <row r="494" spans="1:15" ht="13.5" customHeight="1" x14ac:dyDescent="0.25">
      <c r="A494" s="13"/>
      <c r="B494" s="13" t="s">
        <v>9</v>
      </c>
      <c r="C494" s="13"/>
      <c r="D494" s="13"/>
      <c r="E494" s="13"/>
      <c r="F494" s="17">
        <f>VLOOKUP("   WI, E",'[1]Raw Data'!$B$2:$O$102,3,FALSE)</f>
        <v>103</v>
      </c>
      <c r="G494" s="17"/>
      <c r="H494" s="17"/>
      <c r="I494" s="17">
        <f>VLOOKUP("   WI, E",'[1]Raw Data'!$B$2:$O$102,4,FALSE)</f>
        <v>135</v>
      </c>
      <c r="J494" s="17"/>
      <c r="K494" s="17"/>
      <c r="L494" s="17">
        <f>VLOOKUP("   WI, E",'[1]Raw Data'!$B$2:$O$102,5,FALSE)</f>
        <v>128</v>
      </c>
      <c r="M494" s="17"/>
      <c r="N494" s="17"/>
      <c r="O494" s="17">
        <f>VLOOKUP("   WI, E",'[1]Raw Data'!$B$2:$O$102,6,FALSE)</f>
        <v>111</v>
      </c>
    </row>
    <row r="495" spans="1:15" ht="13.5" customHeight="1" x14ac:dyDescent="0.25">
      <c r="A495" s="13"/>
      <c r="B495" s="13" t="s">
        <v>10</v>
      </c>
      <c r="C495" s="13"/>
      <c r="D495" s="13"/>
      <c r="E495" s="13"/>
      <c r="F495" s="17">
        <f>VLOOKUP("   WI, E",'[1]Raw Data'!$B$2:$O$102,7,FALSE)</f>
        <v>72</v>
      </c>
      <c r="G495" s="17"/>
      <c r="H495" s="17"/>
      <c r="I495" s="17">
        <f>VLOOKUP("   WI, E",'[1]Raw Data'!$B$2:$O$102,8,FALSE)</f>
        <v>22</v>
      </c>
      <c r="J495" s="17"/>
      <c r="K495" s="17"/>
      <c r="L495" s="17">
        <f>VLOOKUP("   WI, E",'[1]Raw Data'!$B$2:$O$102,9,FALSE)</f>
        <v>72</v>
      </c>
      <c r="M495" s="17"/>
      <c r="N495" s="17"/>
      <c r="O495" s="17">
        <f>VLOOKUP("   WI, E",'[1]Raw Data'!$B$2:$O$102,10,FALSE)</f>
        <v>22</v>
      </c>
    </row>
    <row r="496" spans="1:15" ht="13.5" customHeight="1" x14ac:dyDescent="0.25">
      <c r="A496" s="13"/>
      <c r="B496" s="13" t="s">
        <v>11</v>
      </c>
      <c r="C496" s="13"/>
      <c r="D496" s="13"/>
      <c r="E496" s="13"/>
      <c r="F496" s="17">
        <f>VLOOKUP("   WI, E",'[1]Raw Data'!$B$2:$O$102,11,FALSE)</f>
        <v>410</v>
      </c>
      <c r="G496" s="17"/>
      <c r="H496" s="17"/>
      <c r="I496" s="17">
        <f>VLOOKUP("   WI, E",'[1]Raw Data'!$B$2:$O$102,12,FALSE)</f>
        <v>380</v>
      </c>
      <c r="J496" s="17"/>
      <c r="K496" s="17"/>
      <c r="L496" s="17">
        <f>VLOOKUP("   WI, E",'[1]Raw Data'!$B$2:$O$102,13,FALSE)</f>
        <v>662</v>
      </c>
      <c r="M496" s="17"/>
      <c r="N496" s="17"/>
      <c r="O496" s="17">
        <f>VLOOKUP("   WI, E",'[1]Raw Data'!$B$2:$O$102,14,FALSE)</f>
        <v>128</v>
      </c>
    </row>
    <row r="497" spans="1:15" ht="12" customHeight="1" x14ac:dyDescent="0.25"/>
    <row r="498" spans="1:15" x14ac:dyDescent="0.25">
      <c r="A498" s="13"/>
      <c r="B498" s="13"/>
      <c r="C498" s="18" t="str">
        <f>IF(VLOOKUP("   WI, W",'[1]Raw Data'!$B$2:$O$102,2,FALSE)="CDO","WI, W"&amp;" "&amp;CHAR(178),"WI, W")</f>
        <v>WI, W ²</v>
      </c>
      <c r="D498" s="13"/>
      <c r="F498" s="15">
        <f>SUM(F499:F501)</f>
        <v>222</v>
      </c>
      <c r="G498" s="15"/>
      <c r="H498" s="15"/>
      <c r="I498" s="15">
        <f>SUM(I499:I501)</f>
        <v>176</v>
      </c>
      <c r="J498" s="15"/>
      <c r="K498" s="15"/>
      <c r="L498" s="15">
        <f>SUM(L499:L501)</f>
        <v>315</v>
      </c>
      <c r="M498" s="15"/>
      <c r="N498" s="15"/>
      <c r="O498" s="15">
        <f>SUM(O499:O501)</f>
        <v>82</v>
      </c>
    </row>
    <row r="499" spans="1:15" x14ac:dyDescent="0.25">
      <c r="A499" s="13"/>
      <c r="B499" s="13" t="s">
        <v>9</v>
      </c>
      <c r="C499" s="13"/>
      <c r="D499" s="13"/>
      <c r="E499" s="13"/>
      <c r="F499" s="17">
        <f>VLOOKUP("   WI, W",'[1]Raw Data'!$B$2:$O$102,3,FALSE)</f>
        <v>43</v>
      </c>
      <c r="G499" s="17"/>
      <c r="H499" s="17"/>
      <c r="I499" s="17">
        <f>VLOOKUP("   WI, W",'[1]Raw Data'!$B$2:$O$102,4,FALSE)</f>
        <v>83</v>
      </c>
      <c r="J499" s="17"/>
      <c r="K499" s="17"/>
      <c r="L499" s="17">
        <f>VLOOKUP("   WI, W",'[1]Raw Data'!$B$2:$O$102,5,FALSE)</f>
        <v>76</v>
      </c>
      <c r="M499" s="17"/>
      <c r="N499" s="17"/>
      <c r="O499" s="17">
        <f>VLOOKUP("   WI, W",'[1]Raw Data'!$B$2:$O$102,6,FALSE)</f>
        <v>50</v>
      </c>
    </row>
    <row r="500" spans="1:15" x14ac:dyDescent="0.25">
      <c r="A500" s="13"/>
      <c r="B500" s="13" t="s">
        <v>10</v>
      </c>
      <c r="C500" s="13"/>
      <c r="D500" s="13"/>
      <c r="E500" s="13"/>
      <c r="F500" s="17">
        <f>VLOOKUP("   WI, W",'[1]Raw Data'!$B$2:$O$102,7,FALSE)</f>
        <v>24</v>
      </c>
      <c r="G500" s="17"/>
      <c r="H500" s="17"/>
      <c r="I500" s="17">
        <f>VLOOKUP("   WI, W",'[1]Raw Data'!$B$2:$O$102,8,FALSE)</f>
        <v>23</v>
      </c>
      <c r="J500" s="17"/>
      <c r="K500" s="17"/>
      <c r="L500" s="17">
        <f>VLOOKUP("   WI, W",'[1]Raw Data'!$B$2:$O$102,9,FALSE)</f>
        <v>38</v>
      </c>
      <c r="M500" s="17"/>
      <c r="N500" s="17"/>
      <c r="O500" s="17">
        <f>VLOOKUP("   WI, W",'[1]Raw Data'!$B$2:$O$102,10,FALSE)</f>
        <v>9</v>
      </c>
    </row>
    <row r="501" spans="1:15" x14ac:dyDescent="0.25">
      <c r="A501" s="13"/>
      <c r="B501" s="13" t="s">
        <v>11</v>
      </c>
      <c r="C501" s="13"/>
      <c r="D501" s="13"/>
      <c r="E501" s="13"/>
      <c r="F501" s="17">
        <f>VLOOKUP("   WI, W",'[1]Raw Data'!$B$2:$O$102,11,FALSE)</f>
        <v>155</v>
      </c>
      <c r="G501" s="17"/>
      <c r="H501" s="17"/>
      <c r="I501" s="17">
        <f>VLOOKUP("   WI, W",'[1]Raw Data'!$B$2:$O$102,12,FALSE)</f>
        <v>70</v>
      </c>
      <c r="J501" s="17"/>
      <c r="K501" s="17"/>
      <c r="L501" s="17">
        <f>VLOOKUP("   WI, W",'[1]Raw Data'!$B$2:$O$102,13,FALSE)</f>
        <v>201</v>
      </c>
      <c r="M501" s="17"/>
      <c r="N501" s="17"/>
      <c r="O501" s="17">
        <f>VLOOKUP("   WI, W",'[1]Raw Data'!$B$2:$O$102,14,FALSE)</f>
        <v>23</v>
      </c>
    </row>
    <row r="502" spans="1:15" ht="12" customHeight="1" x14ac:dyDescent="0.25"/>
    <row r="503" spans="1:15" x14ac:dyDescent="0.25">
      <c r="A503" s="13"/>
      <c r="B503" s="13"/>
      <c r="C503" s="18" t="str">
        <f>IF(VLOOKUP("WV, N",'[1]Raw Data'!$B$2:$O$102,2,FALSE)="CDO","WV, N"&amp;" "&amp;CHAR(178),"WV, N")</f>
        <v>WV, N</v>
      </c>
      <c r="D503" s="13"/>
      <c r="F503" s="15">
        <f>SUM(F504:F506)</f>
        <v>211</v>
      </c>
      <c r="G503" s="15"/>
      <c r="H503" s="15"/>
      <c r="I503" s="15">
        <f>SUM(I504:I506)</f>
        <v>471</v>
      </c>
      <c r="J503" s="15"/>
      <c r="K503" s="15"/>
      <c r="L503" s="15">
        <f>SUM(L504:L506)</f>
        <v>488</v>
      </c>
      <c r="M503" s="15"/>
      <c r="N503" s="15"/>
      <c r="O503" s="15">
        <f>SUM(O504:O506)</f>
        <v>191</v>
      </c>
    </row>
    <row r="504" spans="1:15" x14ac:dyDescent="0.25">
      <c r="A504" s="13"/>
      <c r="B504" s="13" t="s">
        <v>9</v>
      </c>
      <c r="C504" s="13"/>
      <c r="D504" s="13"/>
      <c r="E504" s="13"/>
      <c r="F504" s="17">
        <f>VLOOKUP("WV, N",'[1]Raw Data'!$B$2:$O$102,3,FALSE)</f>
        <v>67</v>
      </c>
      <c r="G504" s="17"/>
      <c r="H504" s="17"/>
      <c r="I504" s="17">
        <f>VLOOKUP("WV, N",'[1]Raw Data'!$B$2:$O$102,4,FALSE)</f>
        <v>162</v>
      </c>
      <c r="J504" s="17"/>
      <c r="K504" s="17"/>
      <c r="L504" s="17">
        <f>VLOOKUP("WV, N",'[1]Raw Data'!$B$2:$O$102,5,FALSE)</f>
        <v>159</v>
      </c>
      <c r="M504" s="17"/>
      <c r="N504" s="17"/>
      <c r="O504" s="17">
        <f>VLOOKUP("WV, N",'[1]Raw Data'!$B$2:$O$102,6,FALSE)</f>
        <v>69</v>
      </c>
    </row>
    <row r="505" spans="1:15" x14ac:dyDescent="0.25">
      <c r="A505" s="13"/>
      <c r="B505" s="13" t="s">
        <v>10</v>
      </c>
      <c r="C505" s="13"/>
      <c r="D505" s="13"/>
      <c r="E505" s="13"/>
      <c r="F505" s="17">
        <f>VLOOKUP("WV, N",'[1]Raw Data'!$B$2:$O$102,7,FALSE)</f>
        <v>58</v>
      </c>
      <c r="G505" s="17"/>
      <c r="H505" s="17"/>
      <c r="I505" s="17">
        <f>VLOOKUP("WV, N",'[1]Raw Data'!$B$2:$O$102,8,FALSE)</f>
        <v>22</v>
      </c>
      <c r="J505" s="17"/>
      <c r="K505" s="17"/>
      <c r="L505" s="17">
        <f>VLOOKUP("WV, N",'[1]Raw Data'!$B$2:$O$102,9,FALSE)</f>
        <v>50</v>
      </c>
      <c r="M505" s="17"/>
      <c r="N505" s="17"/>
      <c r="O505" s="17">
        <f>VLOOKUP("WV, N",'[1]Raw Data'!$B$2:$O$102,10,FALSE)</f>
        <v>29</v>
      </c>
    </row>
    <row r="506" spans="1:15" x14ac:dyDescent="0.25">
      <c r="A506" s="13"/>
      <c r="B506" s="13" t="s">
        <v>11</v>
      </c>
      <c r="C506" s="13"/>
      <c r="D506" s="13"/>
      <c r="E506" s="13"/>
      <c r="F506" s="17">
        <f>VLOOKUP("WV, N",'[1]Raw Data'!$B$2:$O$102,11,FALSE)</f>
        <v>86</v>
      </c>
      <c r="G506" s="17"/>
      <c r="H506" s="17"/>
      <c r="I506" s="17">
        <f>VLOOKUP("WV, N",'[1]Raw Data'!$B$2:$O$102,12,FALSE)</f>
        <v>287</v>
      </c>
      <c r="J506" s="17"/>
      <c r="K506" s="17"/>
      <c r="L506" s="17">
        <f>VLOOKUP("WV, N",'[1]Raw Data'!$B$2:$O$102,13,FALSE)</f>
        <v>279</v>
      </c>
      <c r="M506" s="17"/>
      <c r="N506" s="17"/>
      <c r="O506" s="17">
        <f>VLOOKUP("WV, N",'[1]Raw Data'!$B$2:$O$102,14,FALSE)</f>
        <v>93</v>
      </c>
    </row>
    <row r="507" spans="1:15" ht="12" customHeight="1" x14ac:dyDescent="0.25"/>
    <row r="508" spans="1:15" x14ac:dyDescent="0.25">
      <c r="A508" s="13"/>
      <c r="B508" s="13"/>
      <c r="C508" s="18" t="str">
        <f>IF(VLOOKUP("WV, S",'[1]Raw Data'!$B$2:$O$102,2,FALSE)="CDO","WV, S"&amp;" "&amp;CHAR(178),"WV, S")</f>
        <v>WV, S</v>
      </c>
      <c r="D508" s="13"/>
      <c r="F508" s="15">
        <f>SUM(F509:F511)</f>
        <v>338</v>
      </c>
      <c r="G508" s="15"/>
      <c r="H508" s="15"/>
      <c r="I508" s="15">
        <f>SUM(I509:I511)</f>
        <v>320</v>
      </c>
      <c r="J508" s="15"/>
      <c r="K508" s="15"/>
      <c r="L508" s="15">
        <f>SUM(L509:L511)</f>
        <v>433</v>
      </c>
      <c r="M508" s="15"/>
      <c r="N508" s="15"/>
      <c r="O508" s="15">
        <f>SUM(O509:O511)</f>
        <v>224</v>
      </c>
    </row>
    <row r="509" spans="1:15" x14ac:dyDescent="0.25">
      <c r="A509" s="13"/>
      <c r="B509" s="13" t="s">
        <v>9</v>
      </c>
      <c r="C509" s="13"/>
      <c r="D509" s="13"/>
      <c r="E509" s="13"/>
      <c r="F509" s="17">
        <f>VLOOKUP("WV, S",'[1]Raw Data'!$B$2:$O$102,3,FALSE)</f>
        <v>111</v>
      </c>
      <c r="G509" s="17"/>
      <c r="H509" s="17"/>
      <c r="I509" s="17">
        <f>VLOOKUP("WV, S",'[1]Raw Data'!$B$2:$O$102,4,FALSE)</f>
        <v>129</v>
      </c>
      <c r="J509" s="17"/>
      <c r="K509" s="17"/>
      <c r="L509" s="17">
        <f>VLOOKUP("WV, S",'[1]Raw Data'!$B$2:$O$102,5,FALSE)</f>
        <v>150</v>
      </c>
      <c r="M509" s="17"/>
      <c r="N509" s="17"/>
      <c r="O509" s="17">
        <f>VLOOKUP("WV, S",'[1]Raw Data'!$B$2:$O$102,6,FALSE)</f>
        <v>90</v>
      </c>
    </row>
    <row r="510" spans="1:15" x14ac:dyDescent="0.25">
      <c r="A510" s="13"/>
      <c r="B510" s="13" t="s">
        <v>10</v>
      </c>
      <c r="C510" s="13"/>
      <c r="D510" s="13"/>
      <c r="E510" s="13"/>
      <c r="F510" s="17">
        <f>VLOOKUP("WV, S",'[1]Raw Data'!$B$2:$O$102,7,FALSE)</f>
        <v>89</v>
      </c>
      <c r="G510" s="17"/>
      <c r="H510" s="17"/>
      <c r="I510" s="17">
        <f>VLOOKUP("WV, S",'[1]Raw Data'!$B$2:$O$102,8,FALSE)</f>
        <v>11</v>
      </c>
      <c r="J510" s="17"/>
      <c r="K510" s="17"/>
      <c r="L510" s="17">
        <f>VLOOKUP("WV, S",'[1]Raw Data'!$B$2:$O$102,9,FALSE)</f>
        <v>38</v>
      </c>
      <c r="M510" s="17"/>
      <c r="N510" s="17"/>
      <c r="O510" s="17">
        <f>VLOOKUP("WV, S",'[1]Raw Data'!$B$2:$O$102,10,FALSE)</f>
        <v>62</v>
      </c>
    </row>
    <row r="511" spans="1:15" x14ac:dyDescent="0.25">
      <c r="A511" s="13"/>
      <c r="B511" s="13" t="s">
        <v>11</v>
      </c>
      <c r="C511" s="13"/>
      <c r="D511" s="13"/>
      <c r="E511" s="13"/>
      <c r="F511" s="17">
        <f>VLOOKUP("WV, S",'[1]Raw Data'!$B$2:$O$102,11,FALSE)</f>
        <v>138</v>
      </c>
      <c r="G511" s="17"/>
      <c r="H511" s="17"/>
      <c r="I511" s="17">
        <f>VLOOKUP("WV, S",'[1]Raw Data'!$B$2:$O$102,12,FALSE)</f>
        <v>180</v>
      </c>
      <c r="J511" s="17"/>
      <c r="K511" s="17"/>
      <c r="L511" s="17">
        <f>VLOOKUP("WV, S",'[1]Raw Data'!$B$2:$O$102,13,FALSE)</f>
        <v>245</v>
      </c>
      <c r="M511" s="17"/>
      <c r="N511" s="17"/>
      <c r="O511" s="17">
        <f>VLOOKUP("WV, S",'[1]Raw Data'!$B$2:$O$102,14,FALSE)</f>
        <v>72</v>
      </c>
    </row>
    <row r="512" spans="1:15" ht="12" customHeight="1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</row>
    <row r="513" spans="1:1" x14ac:dyDescent="0.25">
      <c r="A513" s="13" t="s">
        <v>12</v>
      </c>
    </row>
    <row r="514" spans="1:1" x14ac:dyDescent="0.25">
      <c r="A514" s="13" t="s">
        <v>13</v>
      </c>
    </row>
  </sheetData>
  <mergeCells count="10">
    <mergeCell ref="A5:D5"/>
    <mergeCell ref="E5:G5"/>
    <mergeCell ref="H5:J5"/>
    <mergeCell ref="K5:M5"/>
    <mergeCell ref="N5:P5"/>
    <mergeCell ref="A6:D6"/>
    <mergeCell ref="E6:G6"/>
    <mergeCell ref="H6:J6"/>
    <mergeCell ref="K6:M6"/>
    <mergeCell ref="N6:P6"/>
  </mergeCells>
  <pageMargins left="0.7" right="0.7" top="0.75" bottom="0.75" header="0.3" footer="0.3"/>
  <pageSetup scale="92" orientation="landscape" r:id="rId1"/>
  <rowBreaks count="2" manualBreakCount="2">
    <brk id="41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Administrative Office of the US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Erin Short</cp:lastModifiedBy>
  <dcterms:created xsi:type="dcterms:W3CDTF">2017-12-19T15:39:05Z</dcterms:created>
  <dcterms:modified xsi:type="dcterms:W3CDTF">2017-12-19T15:39:52Z</dcterms:modified>
</cp:coreProperties>
</file>