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Publications\Reports\Judicial Business\2019 Judicial Business\Supreme Court\"/>
    </mc:Choice>
  </mc:AlternateContent>
  <xr:revisionPtr revIDLastSave="0" documentId="13_ncr:1_{A481847C-B7C6-4D5B-80D8-5E8EE5D10FE4}" xr6:coauthVersionLast="41" xr6:coauthVersionMax="41" xr10:uidLastSave="{00000000-0000-0000-0000-000000000000}"/>
  <bookViews>
    <workbookView xWindow="-108" yWindow="-108" windowWidth="23256" windowHeight="12576" xr2:uid="{19F7F78D-5894-47E6-8F30-1F94B3173B09}"/>
  </bookViews>
  <sheets>
    <sheet name="Formatted 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1" l="1"/>
  <c r="A4" i="1"/>
  <c r="B10" i="1"/>
  <c r="E11" i="1"/>
  <c r="K11" i="1"/>
  <c r="Q11" i="1"/>
  <c r="W11" i="1"/>
  <c r="E12" i="1"/>
  <c r="K12" i="1"/>
  <c r="Q12" i="1"/>
  <c r="W12" i="1"/>
  <c r="E13" i="1"/>
  <c r="K13" i="1"/>
  <c r="Q13" i="1"/>
  <c r="W13" i="1"/>
  <c r="E16" i="1"/>
  <c r="K16" i="1"/>
  <c r="Q16" i="1"/>
  <c r="W16" i="1"/>
  <c r="E17" i="1"/>
  <c r="K17" i="1"/>
  <c r="Q17" i="1"/>
  <c r="W17" i="1"/>
  <c r="E18" i="1"/>
  <c r="K18" i="1"/>
  <c r="Q18" i="1"/>
  <c r="W18" i="1"/>
  <c r="B20" i="1"/>
  <c r="K22" i="1"/>
  <c r="Q22" i="1"/>
  <c r="Q21" i="1" s="1"/>
  <c r="W22" i="1"/>
  <c r="E22" i="1" s="1"/>
  <c r="K23" i="1"/>
  <c r="K21" i="1" s="1"/>
  <c r="Q23" i="1"/>
  <c r="E23" i="1" s="1"/>
  <c r="W23" i="1"/>
  <c r="B25" i="1"/>
  <c r="K27" i="1"/>
  <c r="Q27" i="1"/>
  <c r="W27" i="1"/>
  <c r="W26" i="1" s="1"/>
  <c r="K28" i="1"/>
  <c r="E28" i="1" s="1"/>
  <c r="Q28" i="1"/>
  <c r="W28" i="1"/>
  <c r="B30" i="1"/>
  <c r="K32" i="1"/>
  <c r="Q32" i="1"/>
  <c r="W32" i="1"/>
  <c r="E33" i="1"/>
  <c r="K33" i="1"/>
  <c r="K31" i="1" s="1"/>
  <c r="Q33" i="1"/>
  <c r="W33" i="1"/>
  <c r="G36" i="1"/>
  <c r="K36" i="1"/>
  <c r="O36" i="1"/>
  <c r="S36" i="1"/>
  <c r="W36" i="1"/>
  <c r="H39" i="1"/>
  <c r="L39" i="1"/>
  <c r="H40" i="1"/>
  <c r="L40" i="1"/>
  <c r="P40" i="1"/>
  <c r="T40" i="1"/>
  <c r="X40" i="1"/>
  <c r="H41" i="1"/>
  <c r="L41" i="1"/>
  <c r="P41" i="1"/>
  <c r="T41" i="1"/>
  <c r="X41" i="1"/>
  <c r="H42" i="1"/>
  <c r="L42" i="1"/>
  <c r="P42" i="1"/>
  <c r="T42" i="1"/>
  <c r="X42" i="1"/>
  <c r="H43" i="1"/>
  <c r="L43" i="1"/>
  <c r="P43" i="1"/>
  <c r="T43" i="1"/>
  <c r="X43" i="1"/>
  <c r="H44" i="1"/>
  <c r="L44" i="1"/>
  <c r="P44" i="1"/>
  <c r="T44" i="1"/>
  <c r="X44" i="1"/>
  <c r="H45" i="1"/>
  <c r="L45" i="1"/>
  <c r="P45" i="1"/>
  <c r="T45" i="1"/>
  <c r="X45" i="1"/>
  <c r="Q31" i="1" l="1"/>
  <c r="K26" i="1"/>
  <c r="T39" i="1"/>
  <c r="P39" i="1"/>
  <c r="X39" i="1"/>
  <c r="W31" i="1"/>
  <c r="Q26" i="1"/>
  <c r="W21" i="1"/>
  <c r="E21" i="1" s="1"/>
  <c r="E27" i="1"/>
  <c r="E26" i="1" s="1"/>
  <c r="E32" i="1"/>
  <c r="E31" i="1" s="1"/>
</calcChain>
</file>

<file path=xl/sharedStrings.xml><?xml version="1.0" encoding="utf-8"?>
<sst xmlns="http://schemas.openxmlformats.org/spreadsheetml/2006/main" count="32" uniqueCount="19">
  <si>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t>
  </si>
  <si>
    <t>Total Cases Available for Argument at Start of Next Term</t>
  </si>
  <si>
    <t>Cases Reviewed and Decided Without Oral Argument</t>
  </si>
  <si>
    <t>Total Cases Granted Plenary Review</t>
  </si>
  <si>
    <t>Number Set for Re-Argument Next Term</t>
  </si>
  <si>
    <t>Number Disposed of by per Curiam Opinions</t>
  </si>
  <si>
    <t>Number Disposed of by Full Opinions</t>
  </si>
  <si>
    <t>Cases Argued During Term</t>
  </si>
  <si>
    <t>Cases</t>
  </si>
  <si>
    <t>October Terms</t>
  </si>
  <si>
    <t>Number Remaining on Docket</t>
  </si>
  <si>
    <t>Cases Disposed of</t>
  </si>
  <si>
    <t>Number of Cases on Docket</t>
  </si>
  <si>
    <t>In Forma Pauperis</t>
  </si>
  <si>
    <t>Paid</t>
  </si>
  <si>
    <t>Original</t>
  </si>
  <si>
    <t>Total</t>
  </si>
  <si>
    <t>Supreme Court of the United States—Cases on Docket, Disposed of, and Remaining on Docket</t>
  </si>
  <si>
    <t>Table 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</si>
</sst>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10"/>
      <color theme="1"/>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2" fillId="0" borderId="1" xfId="0" applyFont="1" applyBorder="1"/>
    <xf numFmtId="164" fontId="2" fillId="0" borderId="0" xfId="1" applyNumberFormat="1" applyFont="1"/>
    <xf numFmtId="0" fontId="3" fillId="0" borderId="0" xfId="0" applyFont="1" applyAlignment="1">
      <alignment horizontal="left"/>
    </xf>
    <xf numFmtId="164" fontId="2" fillId="0" borderId="0" xfId="1" applyNumberFormat="1" applyFont="1" applyAlignment="1">
      <alignment horizontal="right"/>
    </xf>
    <xf numFmtId="0" fontId="2" fillId="0" borderId="0" xfId="0" applyFont="1" applyAlignment="1">
      <alignment horizontal="left"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xf>
    <xf numFmtId="164" fontId="2" fillId="0" borderId="0" xfId="1" applyNumberFormat="1" applyFont="1" applyFill="1" applyAlignment="1">
      <alignment horizontal="right"/>
    </xf>
    <xf numFmtId="164" fontId="2" fillId="0" borderId="0" xfId="1" applyNumberFormat="1" applyFont="1" applyFill="1" applyAlignment="1" applyProtection="1">
      <alignment horizontal="right"/>
    </xf>
    <xf numFmtId="0" fontId="2" fillId="0" borderId="0" xfId="0" applyFont="1" applyAlignment="1">
      <alignment horizontal="left"/>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164" fontId="2" fillId="0" borderId="0" xfId="1" applyNumberFormat="1" applyFont="1" applyAlignment="1">
      <alignment horizontal="right"/>
    </xf>
    <xf numFmtId="164" fontId="2" fillId="0" borderId="0" xfId="1" applyNumberFormat="1" applyFont="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4" fillId="0" borderId="0" xfId="0" applyFont="1" applyAlignment="1">
      <alignment horizontal="left"/>
    </xf>
    <xf numFmtId="0" fontId="4" fillId="0" borderId="0" xfId="0" applyFont="1" applyFill="1" applyAlignment="1">
      <alignment horizontal="left"/>
    </xf>
    <xf numFmtId="0" fontId="3" fillId="0" borderId="11" xfId="0" applyFont="1" applyBorder="1" applyAlignment="1">
      <alignment horizontal="center"/>
    </xf>
    <xf numFmtId="0" fontId="3" fillId="0" borderId="9" xfId="0" applyFont="1" applyBorder="1" applyAlignment="1">
      <alignment horizontal="center"/>
    </xf>
    <xf numFmtId="0" fontId="2" fillId="0" borderId="0" xfId="0" applyFont="1" applyAlignment="1">
      <alignment horizontal="center"/>
    </xf>
    <xf numFmtId="164" fontId="2" fillId="0" borderId="0" xfId="1" applyNumberFormat="1" applyFont="1" applyFill="1" applyAlignment="1" applyProtection="1">
      <alignment horizontal="center" wrapText="1"/>
    </xf>
    <xf numFmtId="164" fontId="2" fillId="0" borderId="0" xfId="1" applyNumberFormat="1" applyFont="1" applyFill="1" applyAlignment="1">
      <alignment horizontal="center" wrapText="1"/>
    </xf>
  </cellXfs>
  <cellStyles count="2">
    <cellStyle name="Comma" xfId="1" builtinId="3"/>
    <cellStyle name="Normal"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AD971C96-B887-4850-BDC0-99999230A384}"/>
            </a:ext>
          </a:extLst>
        </xdr:cNvPr>
        <xdr:cNvCxnSpPr/>
      </xdr:nvCxnSpPr>
      <xdr:spPr>
        <a:xfrm>
          <a:off x="28574" y="47625"/>
          <a:ext cx="15794037"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20-%20Table%20A-1%20Sept%20JB%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 28 Curr Term"/>
      <sheetName val="Raw Data - Tab 1 Next Term"/>
      <sheetName val="Raw Data - Prior Year A-1"/>
    </sheetNames>
    <sheetDataSet>
      <sheetData sheetId="0" refreshError="1"/>
      <sheetData sheetId="1" refreshError="1"/>
      <sheetData sheetId="2" refreshError="1"/>
      <sheetData sheetId="3">
        <row r="1">
          <cell r="A1" t="str">
            <v xml:space="preserve"> October Term, 2018</v>
          </cell>
        </row>
        <row r="2">
          <cell r="A2" t="str">
            <v>Statistical Sheet No. 28</v>
          </cell>
        </row>
        <row r="3">
          <cell r="A3">
            <v>43644</v>
          </cell>
        </row>
        <row r="5">
          <cell r="B5" t="str">
            <v>FINAL  (Revised)</v>
          </cell>
          <cell r="E5" t="str">
            <v>TERM</v>
          </cell>
        </row>
        <row r="6">
          <cell r="C6" t="str">
            <v>CURRENT</v>
          </cell>
          <cell r="E6" t="str">
            <v>LAST</v>
          </cell>
          <cell r="G6" t="str">
            <v>O.T. 16</v>
          </cell>
        </row>
        <row r="7">
          <cell r="A7" t="str">
            <v>PAID CASES</v>
          </cell>
        </row>
        <row r="8">
          <cell r="A8">
            <v>1</v>
          </cell>
          <cell r="B8" t="str">
            <v>Cases from prior term………………………</v>
          </cell>
          <cell r="C8">
            <v>322</v>
          </cell>
          <cell r="E8">
            <v>344</v>
          </cell>
          <cell r="G8">
            <v>300</v>
          </cell>
        </row>
        <row r="9">
          <cell r="A9">
            <v>2</v>
          </cell>
          <cell r="B9" t="str">
            <v>Cases docketed during term……………….</v>
          </cell>
          <cell r="C9">
            <v>1593</v>
          </cell>
          <cell r="E9">
            <v>1718</v>
          </cell>
          <cell r="G9">
            <v>1550</v>
          </cell>
        </row>
        <row r="10">
          <cell r="A10">
            <v>3</v>
          </cell>
          <cell r="B10" t="str">
            <v>Cases on docket…………………………….</v>
          </cell>
          <cell r="C10">
            <v>1910</v>
          </cell>
          <cell r="E10">
            <v>2062</v>
          </cell>
          <cell r="G10">
            <v>1850</v>
          </cell>
        </row>
        <row r="11">
          <cell r="A11">
            <v>4</v>
          </cell>
          <cell r="B11" t="str">
            <v>Cases granted review and carried over…..</v>
          </cell>
          <cell r="C11">
            <v>34</v>
          </cell>
          <cell r="D11" t="str">
            <v>(33h)</v>
          </cell>
          <cell r="E11">
            <v>30</v>
          </cell>
          <cell r="F11" t="str">
            <v>(26h)</v>
          </cell>
          <cell r="G11">
            <v>26</v>
          </cell>
          <cell r="H11" t="str">
            <v>(24h)</v>
          </cell>
        </row>
        <row r="12">
          <cell r="A12">
            <v>5</v>
          </cell>
          <cell r="B12" t="str">
            <v>Cases denied, dismissed or withdrawn…..</v>
          </cell>
          <cell r="C12">
            <v>1497</v>
          </cell>
          <cell r="E12">
            <v>1629</v>
          </cell>
          <cell r="G12">
            <v>1411</v>
          </cell>
        </row>
        <row r="13">
          <cell r="A13">
            <v>6</v>
          </cell>
          <cell r="B13" t="str">
            <v>Cases summarily decided………………….</v>
          </cell>
          <cell r="C13">
            <v>24</v>
          </cell>
          <cell r="E13">
            <v>37</v>
          </cell>
          <cell r="G13">
            <v>28</v>
          </cell>
        </row>
        <row r="14">
          <cell r="A14">
            <v>7</v>
          </cell>
          <cell r="B14" t="str">
            <v>Cases granted review this term…………….</v>
          </cell>
          <cell r="C14">
            <v>77</v>
          </cell>
          <cell r="D14" t="str">
            <v>(66h)</v>
          </cell>
          <cell r="E14">
            <v>70</v>
          </cell>
          <cell r="F14" t="str">
            <v>(66h)</v>
          </cell>
          <cell r="G14">
            <v>70</v>
          </cell>
          <cell r="H14" t="str">
            <v>(59h)</v>
          </cell>
        </row>
        <row r="15">
          <cell r="A15">
            <v>8</v>
          </cell>
          <cell r="B15" t="str">
            <v>Cases acted upon…………………………..</v>
          </cell>
          <cell r="C15">
            <v>1629</v>
          </cell>
          <cell r="E15">
            <v>1762</v>
          </cell>
          <cell r="G15">
            <v>1535</v>
          </cell>
        </row>
        <row r="16">
          <cell r="A16">
            <v>9</v>
          </cell>
          <cell r="B16" t="str">
            <v>Cases not acted upon………………………</v>
          </cell>
          <cell r="C16">
            <v>281</v>
          </cell>
          <cell r="E16">
            <v>300</v>
          </cell>
          <cell r="G16">
            <v>315</v>
          </cell>
        </row>
        <row r="18">
          <cell r="A18" t="str">
            <v>IN FORMA PAUPERIS CASES</v>
          </cell>
        </row>
        <row r="19">
          <cell r="A19">
            <v>10</v>
          </cell>
          <cell r="B19" t="str">
            <v>Cases from prior term………………………</v>
          </cell>
          <cell r="C19">
            <v>855</v>
          </cell>
          <cell r="E19">
            <v>725</v>
          </cell>
          <cell r="G19">
            <v>722</v>
          </cell>
        </row>
        <row r="20">
          <cell r="A20">
            <v>11</v>
          </cell>
          <cell r="B20" t="str">
            <v>Cases docketed during term……………….</v>
          </cell>
          <cell r="C20">
            <v>4847</v>
          </cell>
          <cell r="E20">
            <v>4595</v>
          </cell>
          <cell r="G20">
            <v>4755</v>
          </cell>
        </row>
        <row r="21">
          <cell r="A21">
            <v>12</v>
          </cell>
          <cell r="B21" t="str">
            <v>Cases on docket…………………………….</v>
          </cell>
          <cell r="C21">
            <v>5703</v>
          </cell>
          <cell r="E21">
            <v>5320</v>
          </cell>
          <cell r="G21">
            <v>5477</v>
          </cell>
        </row>
        <row r="22">
          <cell r="A22">
            <v>13</v>
          </cell>
          <cell r="B22" t="str">
            <v>Cases granted review and carried over…..</v>
          </cell>
          <cell r="C22">
            <v>4</v>
          </cell>
          <cell r="D22" t="str">
            <v>(4h)</v>
          </cell>
          <cell r="E22">
            <v>2</v>
          </cell>
          <cell r="F22" t="str">
            <v>(2h)</v>
          </cell>
          <cell r="G22">
            <v>5</v>
          </cell>
          <cell r="H22" t="str">
            <v>(5h)</v>
          </cell>
        </row>
        <row r="23">
          <cell r="A23">
            <v>14</v>
          </cell>
          <cell r="B23" t="str">
            <v>Cases denied, dismissed or withdrawn…..</v>
          </cell>
          <cell r="C23">
            <v>4912</v>
          </cell>
          <cell r="E23">
            <v>4391</v>
          </cell>
          <cell r="G23">
            <v>4706</v>
          </cell>
        </row>
        <row r="24">
          <cell r="A24">
            <v>15</v>
          </cell>
          <cell r="B24" t="str">
            <v>Cases summarily decided………………….</v>
          </cell>
          <cell r="C24">
            <v>32</v>
          </cell>
          <cell r="E24">
            <v>66</v>
          </cell>
          <cell r="G24">
            <v>38</v>
          </cell>
        </row>
        <row r="25">
          <cell r="A25">
            <v>16</v>
          </cell>
          <cell r="B25" t="str">
            <v>Cases granted review this term……………</v>
          </cell>
          <cell r="C25">
            <v>9</v>
          </cell>
          <cell r="D25" t="str">
            <v>(9h)</v>
          </cell>
          <cell r="E25">
            <v>8</v>
          </cell>
          <cell r="F25" t="str">
            <v>(8h)</v>
          </cell>
          <cell r="G25">
            <v>5</v>
          </cell>
          <cell r="H25" t="str">
            <v>(5h)</v>
          </cell>
        </row>
        <row r="26">
          <cell r="A26">
            <v>17</v>
          </cell>
          <cell r="B26" t="str">
            <v>Cases acted upon…………………………..</v>
          </cell>
          <cell r="C26">
            <v>4948</v>
          </cell>
          <cell r="E26">
            <v>4467</v>
          </cell>
          <cell r="G26">
            <v>4754</v>
          </cell>
        </row>
        <row r="27">
          <cell r="A27">
            <v>18</v>
          </cell>
          <cell r="B27" t="str">
            <v>Cases not acted upon………………………</v>
          </cell>
          <cell r="C27">
            <v>755</v>
          </cell>
          <cell r="E27">
            <v>853</v>
          </cell>
          <cell r="G27">
            <v>723</v>
          </cell>
        </row>
        <row r="29">
          <cell r="A29" t="str">
            <v>Original Cases</v>
          </cell>
        </row>
        <row r="30">
          <cell r="A30">
            <v>19</v>
          </cell>
          <cell r="B30" t="str">
            <v>Cases from prior term………………………</v>
          </cell>
          <cell r="C30">
            <v>7</v>
          </cell>
          <cell r="E30">
            <v>6</v>
          </cell>
          <cell r="G30">
            <v>7</v>
          </cell>
        </row>
        <row r="31">
          <cell r="A31">
            <v>20</v>
          </cell>
          <cell r="B31" t="str">
            <v>Cases docketed during term……………….</v>
          </cell>
          <cell r="C31">
            <v>2</v>
          </cell>
          <cell r="E31">
            <v>2</v>
          </cell>
          <cell r="G31">
            <v>0</v>
          </cell>
        </row>
        <row r="32">
          <cell r="A32">
            <v>21</v>
          </cell>
          <cell r="B32" t="str">
            <v>Cases on docket…………………………….</v>
          </cell>
          <cell r="C32">
            <v>9</v>
          </cell>
          <cell r="E32">
            <v>8</v>
          </cell>
          <cell r="G32">
            <v>7</v>
          </cell>
        </row>
        <row r="33">
          <cell r="A33">
            <v>22</v>
          </cell>
          <cell r="B33" t="str">
            <v>Cases disposed of during term…………….</v>
          </cell>
          <cell r="C33">
            <v>2</v>
          </cell>
          <cell r="E33">
            <v>1</v>
          </cell>
          <cell r="G33">
            <v>1</v>
          </cell>
        </row>
        <row r="34">
          <cell r="A34">
            <v>23</v>
          </cell>
          <cell r="B34" t="str">
            <v>Cases remaining…………………………….</v>
          </cell>
          <cell r="C34">
            <v>7</v>
          </cell>
          <cell r="E34">
            <v>7</v>
          </cell>
          <cell r="G34">
            <v>6</v>
          </cell>
        </row>
        <row r="35">
          <cell r="A35">
            <v>24</v>
          </cell>
          <cell r="B35" t="str">
            <v>Total cases on docket………………………</v>
          </cell>
          <cell r="C35">
            <v>7622</v>
          </cell>
          <cell r="E35">
            <v>7390</v>
          </cell>
          <cell r="G35">
            <v>7334</v>
          </cell>
        </row>
        <row r="37">
          <cell r="A37" t="str">
            <v>ARGUMENT CALENDAR</v>
          </cell>
        </row>
        <row r="38">
          <cell r="A38">
            <v>25</v>
          </cell>
          <cell r="B38" t="str">
            <v>Cases available at beginning of term……..</v>
          </cell>
          <cell r="C38">
            <v>38</v>
          </cell>
          <cell r="D38" t="str">
            <v>(37h)</v>
          </cell>
          <cell r="E38">
            <v>32</v>
          </cell>
          <cell r="F38" t="str">
            <v>(28h)</v>
          </cell>
          <cell r="G38">
            <v>31</v>
          </cell>
          <cell r="H38" t="str">
            <v>(29h)</v>
          </cell>
        </row>
        <row r="39">
          <cell r="A39">
            <v>26</v>
          </cell>
          <cell r="B39" t="str">
            <v>Cases made available during term……...…</v>
          </cell>
          <cell r="C39">
            <v>86</v>
          </cell>
          <cell r="D39" t="str">
            <v>(75h)</v>
          </cell>
          <cell r="E39">
            <v>78</v>
          </cell>
          <cell r="F39" t="str">
            <v>(74h)</v>
          </cell>
          <cell r="G39">
            <v>75</v>
          </cell>
          <cell r="H39" t="str">
            <v>(64h)</v>
          </cell>
        </row>
        <row r="40">
          <cell r="A40">
            <v>27</v>
          </cell>
          <cell r="B40" t="str">
            <v>Cases reset for argument…………………..</v>
          </cell>
          <cell r="C40">
            <v>2</v>
          </cell>
          <cell r="E40">
            <v>0</v>
          </cell>
          <cell r="G40">
            <v>2</v>
          </cell>
          <cell r="H40" t="str">
            <v>(2h)</v>
          </cell>
        </row>
        <row r="41">
          <cell r="A41">
            <v>28</v>
          </cell>
          <cell r="B41" t="str">
            <v>Original cases set for argument……………</v>
          </cell>
          <cell r="C41">
            <v>0</v>
          </cell>
          <cell r="E41">
            <v>2</v>
          </cell>
          <cell r="F41" t="str">
            <v>(2h)</v>
          </cell>
          <cell r="G41">
            <v>0</v>
          </cell>
        </row>
        <row r="42">
          <cell r="A42">
            <v>29</v>
          </cell>
          <cell r="B42" t="str">
            <v>Total cases available for argument………..</v>
          </cell>
          <cell r="C42">
            <v>126</v>
          </cell>
          <cell r="D42" t="str">
            <v>(114h)</v>
          </cell>
          <cell r="E42">
            <v>112</v>
          </cell>
          <cell r="F42" t="str">
            <v>(104h)</v>
          </cell>
          <cell r="G42">
            <v>114</v>
          </cell>
          <cell r="H42" t="str">
            <v>(95h)</v>
          </cell>
        </row>
        <row r="43">
          <cell r="A43">
            <v>30</v>
          </cell>
          <cell r="B43" t="str">
            <v>Cases argued……………………………….</v>
          </cell>
          <cell r="C43">
            <v>73</v>
          </cell>
          <cell r="D43" t="str">
            <v>(71h)</v>
          </cell>
          <cell r="E43">
            <v>69</v>
          </cell>
          <cell r="F43" t="str">
            <v>(63h)</v>
          </cell>
          <cell r="G43">
            <v>71</v>
          </cell>
          <cell r="H43" t="str">
            <v>(64h)</v>
          </cell>
        </row>
        <row r="44">
          <cell r="A44">
            <v>31</v>
          </cell>
          <cell r="B44" t="str">
            <v>Dismissed or remanded without argument…</v>
          </cell>
          <cell r="C44">
            <v>2</v>
          </cell>
          <cell r="E44">
            <v>5</v>
          </cell>
          <cell r="F44" t="str">
            <v>(4h)</v>
          </cell>
          <cell r="G44">
            <v>5</v>
          </cell>
          <cell r="H44" t="str">
            <v>(3h)</v>
          </cell>
        </row>
        <row r="45">
          <cell r="A45">
            <v>32</v>
          </cell>
          <cell r="B45" t="str">
            <v>Total cases disposed of……………………..</v>
          </cell>
          <cell r="C45">
            <v>75</v>
          </cell>
          <cell r="D45" t="str">
            <v>(73h)</v>
          </cell>
          <cell r="E45">
            <v>74</v>
          </cell>
          <cell r="F45" t="str">
            <v>(67h)</v>
          </cell>
          <cell r="G45">
            <v>76</v>
          </cell>
          <cell r="H45" t="str">
            <v>(67h)</v>
          </cell>
        </row>
        <row r="46">
          <cell r="A46">
            <v>33</v>
          </cell>
          <cell r="B46" t="str">
            <v>Total cases available………………………</v>
          </cell>
          <cell r="C46">
            <v>51</v>
          </cell>
          <cell r="D46" t="str">
            <v>(41h)</v>
          </cell>
          <cell r="E46">
            <v>38</v>
          </cell>
          <cell r="F46" t="str">
            <v>(37h)</v>
          </cell>
          <cell r="G46">
            <v>32</v>
          </cell>
          <cell r="H46" t="str">
            <v>(28h)</v>
          </cell>
        </row>
        <row r="47">
          <cell r="A47">
            <v>34</v>
          </cell>
          <cell r="B47" t="str">
            <v>Cases granted this Term</v>
          </cell>
        </row>
        <row r="48">
          <cell r="B48" t="str">
            <v>to be argued next Term………………………</v>
          </cell>
          <cell r="C48">
            <v>50</v>
          </cell>
          <cell r="D48" t="str">
            <v>(40h)</v>
          </cell>
          <cell r="E48">
            <v>38</v>
          </cell>
          <cell r="F48" t="str">
            <v>(37h)</v>
          </cell>
          <cell r="G48">
            <v>32</v>
          </cell>
          <cell r="H48" t="str">
            <v>(28h)</v>
          </cell>
        </row>
        <row r="50">
          <cell r="A50" t="str">
            <v>DECISION CALENDAR</v>
          </cell>
        </row>
        <row r="51">
          <cell r="A51">
            <v>35</v>
          </cell>
          <cell r="B51" t="str">
            <v>Cases argued and submitted……………..</v>
          </cell>
          <cell r="C51">
            <v>73</v>
          </cell>
          <cell r="E51">
            <v>69</v>
          </cell>
          <cell r="G51">
            <v>71</v>
          </cell>
        </row>
        <row r="52">
          <cell r="A52">
            <v>36</v>
          </cell>
          <cell r="B52" t="str">
            <v>Disposed of by signed opinion……………</v>
          </cell>
          <cell r="C52">
            <v>69</v>
          </cell>
          <cell r="E52">
            <v>63</v>
          </cell>
          <cell r="G52">
            <v>68</v>
          </cell>
        </row>
        <row r="53">
          <cell r="A53">
            <v>37</v>
          </cell>
          <cell r="B53" t="str">
            <v>Disposed of by per curiam opinion………</v>
          </cell>
          <cell r="C53">
            <v>2</v>
          </cell>
          <cell r="E53">
            <v>6</v>
          </cell>
          <cell r="G53">
            <v>1</v>
          </cell>
        </row>
        <row r="54">
          <cell r="A54">
            <v>38</v>
          </cell>
          <cell r="B54" t="str">
            <v>Set for reargument…………………………</v>
          </cell>
          <cell r="C54">
            <v>2</v>
          </cell>
          <cell r="E54">
            <v>0</v>
          </cell>
          <cell r="G54">
            <v>2</v>
          </cell>
        </row>
        <row r="55">
          <cell r="A55">
            <v>39</v>
          </cell>
          <cell r="B55" t="str">
            <v>Total cases decided………………………</v>
          </cell>
          <cell r="C55">
            <v>71</v>
          </cell>
          <cell r="E55">
            <v>69</v>
          </cell>
          <cell r="G55">
            <v>69</v>
          </cell>
        </row>
        <row r="56">
          <cell r="A56">
            <v>40</v>
          </cell>
          <cell r="B56" t="str">
            <v>Cases awaiting decision………………….</v>
          </cell>
          <cell r="C56">
            <v>0</v>
          </cell>
          <cell r="E56">
            <v>0</v>
          </cell>
          <cell r="G56">
            <v>0</v>
          </cell>
        </row>
        <row r="57">
          <cell r="A57">
            <v>41</v>
          </cell>
          <cell r="B57" t="str">
            <v>Number of signed opinions……………….</v>
          </cell>
          <cell r="C57">
            <v>66</v>
          </cell>
          <cell r="E57">
            <v>59</v>
          </cell>
          <cell r="G57">
            <v>61</v>
          </cell>
        </row>
        <row r="58">
          <cell r="A58">
            <v>42</v>
          </cell>
          <cell r="B58" t="str">
            <v>Number of opinions to be filed……………</v>
          </cell>
          <cell r="C58">
            <v>0</v>
          </cell>
          <cell r="E58">
            <v>0</v>
          </cell>
          <cell r="G58">
            <v>0</v>
          </cell>
        </row>
        <row r="60">
          <cell r="A60">
            <v>43</v>
          </cell>
          <cell r="B60" t="str">
            <v>Admissions to the bar…………………….</v>
          </cell>
          <cell r="C60">
            <v>3660</v>
          </cell>
          <cell r="E60">
            <v>4150</v>
          </cell>
          <cell r="G60">
            <v>3504</v>
          </cell>
        </row>
        <row r="61">
          <cell r="B61" t="str">
            <v>On written motions…………………………</v>
          </cell>
          <cell r="C61">
            <v>1755</v>
          </cell>
          <cell r="E61">
            <v>2242</v>
          </cell>
          <cell r="G61">
            <v>1840</v>
          </cell>
        </row>
        <row r="62">
          <cell r="B62" t="str">
            <v>In court………………………………………</v>
          </cell>
          <cell r="C62">
            <v>1905</v>
          </cell>
          <cell r="E62">
            <v>1908</v>
          </cell>
          <cell r="G62">
            <v>1664</v>
          </cell>
        </row>
        <row r="65">
          <cell r="B65" t="str">
            <v xml:space="preserve">                   FOR INTERNAL COURT USE ONLY</v>
          </cell>
        </row>
      </sheetData>
      <sheetData sheetId="4">
        <row r="1">
          <cell r="A1" t="str">
            <v>October Term, 2018</v>
          </cell>
        </row>
        <row r="2">
          <cell r="A2" t="str">
            <v>Statistical Sheet No. 1</v>
          </cell>
        </row>
        <row r="3">
          <cell r="A3">
            <v>43377</v>
          </cell>
        </row>
        <row r="5">
          <cell r="E5" t="str">
            <v>TERM</v>
          </cell>
        </row>
        <row r="6">
          <cell r="C6" t="str">
            <v>CURRENT</v>
          </cell>
          <cell r="E6" t="str">
            <v>LAST</v>
          </cell>
          <cell r="G6" t="str">
            <v>O.T. '16</v>
          </cell>
        </row>
        <row r="7">
          <cell r="A7" t="str">
            <v>PAID CASES</v>
          </cell>
        </row>
        <row r="8">
          <cell r="A8">
            <v>1</v>
          </cell>
          <cell r="B8" t="str">
            <v>Cases from prior term………………………</v>
          </cell>
          <cell r="C8">
            <v>322</v>
          </cell>
          <cell r="E8">
            <v>344</v>
          </cell>
          <cell r="G8">
            <v>300</v>
          </cell>
        </row>
        <row r="9">
          <cell r="A9">
            <v>2</v>
          </cell>
          <cell r="B9" t="str">
            <v>Cases docketed during term……………….</v>
          </cell>
          <cell r="C9">
            <v>428</v>
          </cell>
          <cell r="E9">
            <v>514</v>
          </cell>
          <cell r="G9">
            <v>453</v>
          </cell>
        </row>
        <row r="10">
          <cell r="A10">
            <v>3</v>
          </cell>
          <cell r="B10" t="str">
            <v>Cases on docket…………………………….</v>
          </cell>
          <cell r="C10">
            <v>750</v>
          </cell>
          <cell r="E10">
            <v>858</v>
          </cell>
          <cell r="G10">
            <v>753</v>
          </cell>
        </row>
        <row r="11">
          <cell r="A11">
            <v>4</v>
          </cell>
          <cell r="B11" t="str">
            <v>Cases granted review and carried over…..</v>
          </cell>
          <cell r="C11">
            <v>34</v>
          </cell>
          <cell r="D11" t="str">
            <v>(33h)</v>
          </cell>
          <cell r="E11">
            <v>30</v>
          </cell>
          <cell r="F11" t="str">
            <v>(26h)</v>
          </cell>
          <cell r="G11">
            <v>26</v>
          </cell>
          <cell r="H11" t="str">
            <v>(24h)</v>
          </cell>
        </row>
        <row r="12">
          <cell r="A12">
            <v>5</v>
          </cell>
          <cell r="B12" t="str">
            <v>Cases denied, dismissed or withdrawn…..</v>
          </cell>
          <cell r="C12">
            <v>310</v>
          </cell>
          <cell r="E12">
            <v>344</v>
          </cell>
          <cell r="G12">
            <v>303</v>
          </cell>
        </row>
        <row r="13">
          <cell r="A13">
            <v>6</v>
          </cell>
          <cell r="B13" t="str">
            <v>Cases summarily decided………………….</v>
          </cell>
          <cell r="C13">
            <v>1</v>
          </cell>
          <cell r="E13">
            <v>3</v>
          </cell>
          <cell r="G13">
            <v>1</v>
          </cell>
        </row>
        <row r="14">
          <cell r="A14">
            <v>7</v>
          </cell>
          <cell r="B14" t="str">
            <v>Cases granted review this term…………….</v>
          </cell>
          <cell r="C14">
            <v>5</v>
          </cell>
          <cell r="D14" t="str">
            <v>(5h)</v>
          </cell>
          <cell r="E14">
            <v>10</v>
          </cell>
          <cell r="F14" t="str">
            <v>(8h)</v>
          </cell>
          <cell r="G14">
            <v>9</v>
          </cell>
          <cell r="H14" t="str">
            <v>(8h)</v>
          </cell>
        </row>
        <row r="15">
          <cell r="A15">
            <v>8</v>
          </cell>
          <cell r="B15" t="str">
            <v>Cases acted upon…………………………..</v>
          </cell>
          <cell r="C15">
            <v>350</v>
          </cell>
          <cell r="E15">
            <v>387</v>
          </cell>
          <cell r="G15">
            <v>339</v>
          </cell>
        </row>
        <row r="16">
          <cell r="A16">
            <v>9</v>
          </cell>
          <cell r="B16" t="str">
            <v>Cases not acted upon………………………</v>
          </cell>
          <cell r="C16">
            <v>400</v>
          </cell>
          <cell r="E16">
            <v>471</v>
          </cell>
          <cell r="G16">
            <v>414</v>
          </cell>
        </row>
        <row r="18">
          <cell r="A18" t="str">
            <v>IN FORMA PAUPERIS CASES</v>
          </cell>
        </row>
        <row r="19">
          <cell r="A19">
            <v>10</v>
          </cell>
          <cell r="B19" t="str">
            <v>Cases from prior term………………………</v>
          </cell>
          <cell r="C19">
            <v>855</v>
          </cell>
          <cell r="E19">
            <v>725</v>
          </cell>
          <cell r="G19">
            <v>722</v>
          </cell>
        </row>
        <row r="20">
          <cell r="A20">
            <v>11</v>
          </cell>
          <cell r="B20" t="str">
            <v>Cases docketed during term……………….</v>
          </cell>
          <cell r="C20">
            <v>1204</v>
          </cell>
          <cell r="E20">
            <v>1256</v>
          </cell>
          <cell r="G20">
            <v>1339</v>
          </cell>
        </row>
        <row r="21">
          <cell r="A21">
            <v>12</v>
          </cell>
          <cell r="B21" t="str">
            <v>Cases on docket…………………………….</v>
          </cell>
          <cell r="C21">
            <v>2059</v>
          </cell>
          <cell r="E21">
            <v>1981</v>
          </cell>
          <cell r="G21">
            <v>2061</v>
          </cell>
        </row>
        <row r="22">
          <cell r="A22">
            <v>13</v>
          </cell>
          <cell r="B22" t="str">
            <v>Cases granted review and carried over…..</v>
          </cell>
          <cell r="C22">
            <v>4</v>
          </cell>
          <cell r="D22" t="str">
            <v>(4h)</v>
          </cell>
          <cell r="E22">
            <v>2</v>
          </cell>
          <cell r="F22" t="str">
            <v>(2h)</v>
          </cell>
          <cell r="G22">
            <v>5</v>
          </cell>
          <cell r="H22" t="str">
            <v>(5h)</v>
          </cell>
        </row>
        <row r="23">
          <cell r="A23">
            <v>14</v>
          </cell>
          <cell r="B23" t="str">
            <v>Cases denied, dismissed or withdrawn…..</v>
          </cell>
          <cell r="C23">
            <v>1244</v>
          </cell>
          <cell r="E23">
            <v>1130</v>
          </cell>
          <cell r="G23">
            <v>1164</v>
          </cell>
        </row>
        <row r="24">
          <cell r="A24">
            <v>15</v>
          </cell>
          <cell r="B24" t="str">
            <v>Cases summarily decided………………….</v>
          </cell>
          <cell r="C24">
            <v>11</v>
          </cell>
          <cell r="E24">
            <v>6</v>
          </cell>
          <cell r="G24">
            <v>7</v>
          </cell>
        </row>
        <row r="25">
          <cell r="A25">
            <v>16</v>
          </cell>
          <cell r="B25" t="str">
            <v>Cases granted review this term……………</v>
          </cell>
          <cell r="C25">
            <v>0</v>
          </cell>
          <cell r="E25">
            <v>2</v>
          </cell>
          <cell r="F25" t="str">
            <v>(2h)</v>
          </cell>
          <cell r="G25">
            <v>0</v>
          </cell>
        </row>
        <row r="26">
          <cell r="A26">
            <v>17</v>
          </cell>
          <cell r="B26" t="str">
            <v>Cases acted upon…………………………..</v>
          </cell>
          <cell r="C26">
            <v>1259</v>
          </cell>
          <cell r="E26">
            <v>1140</v>
          </cell>
          <cell r="G26">
            <v>1176</v>
          </cell>
        </row>
        <row r="27">
          <cell r="A27">
            <v>18</v>
          </cell>
          <cell r="B27" t="str">
            <v>Cases not acted upon………………………</v>
          </cell>
          <cell r="C27">
            <v>800</v>
          </cell>
          <cell r="E27">
            <v>841</v>
          </cell>
          <cell r="G27">
            <v>885</v>
          </cell>
        </row>
        <row r="29">
          <cell r="A29" t="str">
            <v>ORIGINAL CASES</v>
          </cell>
        </row>
        <row r="30">
          <cell r="A30">
            <v>19</v>
          </cell>
          <cell r="B30" t="str">
            <v>Cases from prior term………………………</v>
          </cell>
          <cell r="C30">
            <v>7</v>
          </cell>
          <cell r="E30">
            <v>6</v>
          </cell>
          <cell r="G30">
            <v>7</v>
          </cell>
        </row>
        <row r="31">
          <cell r="A31">
            <v>20</v>
          </cell>
          <cell r="B31" t="str">
            <v>Cases docketed during term……………….</v>
          </cell>
          <cell r="C31">
            <v>0</v>
          </cell>
          <cell r="E31">
            <v>0</v>
          </cell>
          <cell r="G31">
            <v>0</v>
          </cell>
        </row>
        <row r="32">
          <cell r="A32">
            <v>21</v>
          </cell>
          <cell r="B32" t="str">
            <v>Cases on docket…………………………….</v>
          </cell>
          <cell r="C32">
            <v>7</v>
          </cell>
          <cell r="E32">
            <v>6</v>
          </cell>
          <cell r="G32">
            <v>7</v>
          </cell>
        </row>
        <row r="33">
          <cell r="A33">
            <v>22</v>
          </cell>
          <cell r="B33" t="str">
            <v>Cases disposed of during term…………….</v>
          </cell>
          <cell r="C33">
            <v>0</v>
          </cell>
          <cell r="E33">
            <v>0</v>
          </cell>
          <cell r="G33">
            <v>0</v>
          </cell>
        </row>
        <row r="34">
          <cell r="A34">
            <v>23</v>
          </cell>
          <cell r="B34" t="str">
            <v>Cases remaining…………………………….</v>
          </cell>
          <cell r="C34">
            <v>7</v>
          </cell>
          <cell r="E34">
            <v>6</v>
          </cell>
          <cell r="G34">
            <v>7</v>
          </cell>
        </row>
        <row r="35">
          <cell r="A35">
            <v>24</v>
          </cell>
          <cell r="B35" t="str">
            <v>Total cases on docket………………………</v>
          </cell>
          <cell r="C35">
            <v>2816</v>
          </cell>
          <cell r="E35">
            <v>2845</v>
          </cell>
          <cell r="G35">
            <v>2821</v>
          </cell>
        </row>
        <row r="37">
          <cell r="A37" t="str">
            <v>ARGUMENT CALENDAR</v>
          </cell>
        </row>
        <row r="38">
          <cell r="A38">
            <v>25</v>
          </cell>
          <cell r="B38" t="str">
            <v>Cases available at beginning of term……..</v>
          </cell>
          <cell r="C38">
            <v>38</v>
          </cell>
          <cell r="D38" t="str">
            <v>(37h)</v>
          </cell>
          <cell r="E38">
            <v>32</v>
          </cell>
          <cell r="F38" t="str">
            <v>(28h)</v>
          </cell>
          <cell r="G38">
            <v>31</v>
          </cell>
          <cell r="H38" t="str">
            <v>(29h)</v>
          </cell>
        </row>
        <row r="39">
          <cell r="A39">
            <v>26</v>
          </cell>
          <cell r="B39" t="str">
            <v>Cases made available during term……...…</v>
          </cell>
          <cell r="C39">
            <v>5</v>
          </cell>
          <cell r="D39" t="str">
            <v>(5h)</v>
          </cell>
          <cell r="E39">
            <v>12</v>
          </cell>
          <cell r="F39" t="str">
            <v>(10h)</v>
          </cell>
          <cell r="G39">
            <v>9</v>
          </cell>
          <cell r="H39" t="str">
            <v>(8h)</v>
          </cell>
        </row>
        <row r="40">
          <cell r="A40">
            <v>27</v>
          </cell>
          <cell r="B40" t="str">
            <v>Cases reset for argument…………………..</v>
          </cell>
          <cell r="C40">
            <v>0</v>
          </cell>
          <cell r="E40">
            <v>0</v>
          </cell>
          <cell r="G40">
            <v>0</v>
          </cell>
        </row>
        <row r="41">
          <cell r="A41">
            <v>28</v>
          </cell>
          <cell r="B41" t="str">
            <v>Original cases set for argument……………</v>
          </cell>
          <cell r="C41">
            <v>0</v>
          </cell>
          <cell r="E41">
            <v>0</v>
          </cell>
          <cell r="G41">
            <v>0</v>
          </cell>
        </row>
        <row r="42">
          <cell r="A42">
            <v>29</v>
          </cell>
          <cell r="B42" t="str">
            <v>Total cases available for argument………..</v>
          </cell>
          <cell r="C42">
            <v>43</v>
          </cell>
          <cell r="D42" t="str">
            <v>(42h)</v>
          </cell>
          <cell r="E42">
            <v>44</v>
          </cell>
          <cell r="F42" t="str">
            <v>(38h)</v>
          </cell>
          <cell r="G42">
            <v>40</v>
          </cell>
          <cell r="H42" t="str">
            <v>(37h)</v>
          </cell>
        </row>
        <row r="43">
          <cell r="A43">
            <v>30</v>
          </cell>
          <cell r="B43" t="str">
            <v>Cases argued……………………………….</v>
          </cell>
          <cell r="C43">
            <v>6</v>
          </cell>
          <cell r="D43" t="str">
            <v>(6h)</v>
          </cell>
          <cell r="E43">
            <v>8</v>
          </cell>
          <cell r="F43" t="str">
            <v>(6h)</v>
          </cell>
          <cell r="G43">
            <v>5</v>
          </cell>
          <cell r="H43" t="str">
            <v>(5h)</v>
          </cell>
        </row>
        <row r="44">
          <cell r="A44">
            <v>31</v>
          </cell>
          <cell r="B44" t="str">
            <v>Dismissed or remanded without argument…</v>
          </cell>
          <cell r="C44">
            <v>0</v>
          </cell>
          <cell r="E44">
            <v>1</v>
          </cell>
          <cell r="G44">
            <v>0</v>
          </cell>
        </row>
        <row r="45">
          <cell r="A45">
            <v>32</v>
          </cell>
          <cell r="B45" t="str">
            <v>Total cases disposed of……………………..</v>
          </cell>
          <cell r="C45">
            <v>6</v>
          </cell>
          <cell r="E45">
            <v>9</v>
          </cell>
          <cell r="G45">
            <v>5</v>
          </cell>
        </row>
        <row r="46">
          <cell r="A46">
            <v>33</v>
          </cell>
          <cell r="B46" t="str">
            <v>Total cases available………………………..</v>
          </cell>
          <cell r="C46">
            <v>37</v>
          </cell>
          <cell r="D46" t="str">
            <v>(36h)</v>
          </cell>
          <cell r="E46">
            <v>35</v>
          </cell>
          <cell r="F46" t="str">
            <v>(31h)</v>
          </cell>
          <cell r="G46">
            <v>35</v>
          </cell>
          <cell r="H46" t="str">
            <v>(32h)</v>
          </cell>
        </row>
        <row r="47">
          <cell r="A47">
            <v>34</v>
          </cell>
          <cell r="B47" t="str">
            <v>Cases granted thisTerm</v>
          </cell>
        </row>
        <row r="48">
          <cell r="B48" t="str">
            <v>to be argued next Term…………………….</v>
          </cell>
          <cell r="C48">
            <v>0</v>
          </cell>
          <cell r="E48">
            <v>0</v>
          </cell>
          <cell r="G48">
            <v>0</v>
          </cell>
        </row>
        <row r="50">
          <cell r="A50" t="str">
            <v>DECISION CALENDAR</v>
          </cell>
        </row>
        <row r="51">
          <cell r="A51">
            <v>35</v>
          </cell>
          <cell r="B51" t="str">
            <v>Cases argued and submitted……………….</v>
          </cell>
          <cell r="C51">
            <v>6</v>
          </cell>
          <cell r="E51">
            <v>8</v>
          </cell>
          <cell r="G51">
            <v>5</v>
          </cell>
        </row>
        <row r="52">
          <cell r="A52">
            <v>36</v>
          </cell>
          <cell r="B52" t="str">
            <v>Disposed of by signed opinion……………..</v>
          </cell>
          <cell r="C52">
            <v>0</v>
          </cell>
          <cell r="E52">
            <v>0</v>
          </cell>
          <cell r="G52">
            <v>0</v>
          </cell>
        </row>
        <row r="53">
          <cell r="A53">
            <v>37</v>
          </cell>
          <cell r="B53" t="str">
            <v>Disposed of by per curiam opinion…………</v>
          </cell>
          <cell r="C53">
            <v>0</v>
          </cell>
          <cell r="E53">
            <v>0</v>
          </cell>
          <cell r="G53">
            <v>0</v>
          </cell>
        </row>
        <row r="54">
          <cell r="A54">
            <v>38</v>
          </cell>
          <cell r="B54" t="str">
            <v>Set for reargument……………………………</v>
          </cell>
          <cell r="C54">
            <v>0</v>
          </cell>
          <cell r="E54">
            <v>0</v>
          </cell>
          <cell r="G54">
            <v>0</v>
          </cell>
        </row>
        <row r="55">
          <cell r="A55">
            <v>39</v>
          </cell>
          <cell r="B55" t="str">
            <v>Total cases decided…………………………</v>
          </cell>
          <cell r="C55">
            <v>0</v>
          </cell>
          <cell r="E55">
            <v>0</v>
          </cell>
          <cell r="G55">
            <v>0</v>
          </cell>
        </row>
        <row r="56">
          <cell r="A56">
            <v>40</v>
          </cell>
          <cell r="B56" t="str">
            <v>Cases awaiting decision…………………….</v>
          </cell>
          <cell r="C56">
            <v>6</v>
          </cell>
          <cell r="E56">
            <v>8</v>
          </cell>
          <cell r="G56">
            <v>5</v>
          </cell>
        </row>
        <row r="57">
          <cell r="A57">
            <v>41</v>
          </cell>
          <cell r="B57" t="str">
            <v>Number of signed opinions………………….</v>
          </cell>
          <cell r="C57">
            <v>0</v>
          </cell>
          <cell r="E57">
            <v>0</v>
          </cell>
          <cell r="G57">
            <v>0</v>
          </cell>
        </row>
        <row r="58">
          <cell r="A58">
            <v>42</v>
          </cell>
          <cell r="B58" t="str">
            <v>Number of opinions to be filed………………</v>
          </cell>
          <cell r="C58">
            <v>6</v>
          </cell>
          <cell r="E58">
            <v>6</v>
          </cell>
          <cell r="G58">
            <v>5</v>
          </cell>
        </row>
        <row r="60">
          <cell r="A60">
            <v>43</v>
          </cell>
          <cell r="B60" t="str">
            <v>Admissions to the bar………………………..</v>
          </cell>
          <cell r="C60">
            <v>521</v>
          </cell>
          <cell r="E60">
            <v>649</v>
          </cell>
          <cell r="G60">
            <v>508</v>
          </cell>
        </row>
        <row r="61">
          <cell r="B61" t="str">
            <v>On written motions……………………………</v>
          </cell>
          <cell r="C61">
            <v>455</v>
          </cell>
          <cell r="E61">
            <v>569</v>
          </cell>
          <cell r="G61">
            <v>419</v>
          </cell>
        </row>
        <row r="62">
          <cell r="B62" t="str">
            <v>In court…………………………………………</v>
          </cell>
          <cell r="C62">
            <v>66</v>
          </cell>
          <cell r="E62">
            <v>80</v>
          </cell>
          <cell r="G62">
            <v>89</v>
          </cell>
        </row>
        <row r="64">
          <cell r="B64" t="str">
            <v xml:space="preserve">                                FOR INTERNAL COURT USE ONLY</v>
          </cell>
        </row>
      </sheetData>
      <sheetData sheetId="5">
        <row r="16">
          <cell r="E16">
            <v>8066</v>
          </cell>
          <cell r="K16">
            <v>6</v>
          </cell>
          <cell r="Q16">
            <v>1845</v>
          </cell>
          <cell r="W16">
            <v>6215</v>
          </cell>
        </row>
        <row r="17">
          <cell r="E17">
            <v>7006</v>
          </cell>
          <cell r="K17">
            <v>1</v>
          </cell>
          <cell r="Q17">
            <v>1552</v>
          </cell>
          <cell r="W17">
            <v>5453</v>
          </cell>
        </row>
        <row r="18">
          <cell r="E18">
            <v>1060</v>
          </cell>
          <cell r="K18">
            <v>5</v>
          </cell>
          <cell r="Q18">
            <v>293</v>
          </cell>
          <cell r="W18">
            <v>762</v>
          </cell>
        </row>
        <row r="21">
          <cell r="E21">
            <v>7535</v>
          </cell>
          <cell r="K21">
            <v>8</v>
          </cell>
          <cell r="Q21">
            <v>1839</v>
          </cell>
          <cell r="W21">
            <v>5688</v>
          </cell>
        </row>
        <row r="22">
          <cell r="E22">
            <v>6506</v>
          </cell>
          <cell r="K22">
            <v>1</v>
          </cell>
          <cell r="Q22">
            <v>1539</v>
          </cell>
          <cell r="W22">
            <v>4966</v>
          </cell>
        </row>
        <row r="23">
          <cell r="E23">
            <v>1029</v>
          </cell>
          <cell r="K23">
            <v>7</v>
          </cell>
          <cell r="Q23">
            <v>300</v>
          </cell>
          <cell r="W23">
            <v>722</v>
          </cell>
        </row>
        <row r="39">
          <cell r="L39">
            <v>75</v>
          </cell>
          <cell r="P39">
            <v>82</v>
          </cell>
        </row>
        <row r="40">
          <cell r="L40">
            <v>75</v>
          </cell>
          <cell r="P40">
            <v>70</v>
          </cell>
        </row>
        <row r="41">
          <cell r="L41">
            <v>0</v>
          </cell>
          <cell r="P41">
            <v>12</v>
          </cell>
        </row>
        <row r="42">
          <cell r="L42">
            <v>1</v>
          </cell>
          <cell r="P42">
            <v>0</v>
          </cell>
        </row>
        <row r="43">
          <cell r="L43">
            <v>71</v>
          </cell>
          <cell r="P43">
            <v>81</v>
          </cell>
        </row>
        <row r="44">
          <cell r="L44">
            <v>109</v>
          </cell>
          <cell r="P44">
            <v>145</v>
          </cell>
        </row>
        <row r="45">
          <cell r="L45">
            <v>33</v>
          </cell>
          <cell r="P45">
            <v>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0637-5604-489D-ACB0-2DE67CE77C47}">
  <dimension ref="A1:Z50"/>
  <sheetViews>
    <sheetView showGridLines="0" tabSelected="1" zoomScaleNormal="100" workbookViewId="0">
      <selection activeCell="AD17" sqref="AD17"/>
    </sheetView>
  </sheetViews>
  <sheetFormatPr defaultColWidth="9.109375" defaultRowHeight="10.199999999999999" x14ac:dyDescent="0.2"/>
  <cols>
    <col min="1" max="1" width="2.33203125" style="1" customWidth="1"/>
    <col min="2" max="2" width="22.33203125" style="1" customWidth="1"/>
    <col min="3" max="26" width="3.88671875" style="1" customWidth="1"/>
    <col min="27" max="16384" width="9.109375" style="1"/>
  </cols>
  <sheetData>
    <row r="1" spans="1:26" ht="13.5" customHeight="1" x14ac:dyDescent="0.2"/>
    <row r="2" spans="1:26" ht="13.5" customHeight="1" x14ac:dyDescent="0.25">
      <c r="A2" s="27" t="s">
        <v>18</v>
      </c>
      <c r="B2" s="27"/>
      <c r="C2" s="27"/>
      <c r="D2" s="27"/>
      <c r="E2" s="27"/>
      <c r="F2" s="27"/>
      <c r="G2" s="27"/>
      <c r="H2" s="27"/>
      <c r="I2" s="27"/>
      <c r="J2" s="27"/>
      <c r="K2" s="27"/>
      <c r="L2" s="27"/>
      <c r="M2" s="27"/>
      <c r="N2" s="27"/>
      <c r="O2" s="27"/>
      <c r="P2" s="27"/>
      <c r="Q2" s="27"/>
      <c r="R2" s="27"/>
      <c r="S2" s="27"/>
      <c r="T2" s="27"/>
      <c r="U2" s="27"/>
      <c r="V2" s="27"/>
      <c r="W2" s="27"/>
      <c r="X2" s="27"/>
      <c r="Y2" s="27"/>
      <c r="Z2" s="27"/>
    </row>
    <row r="3" spans="1:26" ht="13.5" customHeight="1" x14ac:dyDescent="0.25">
      <c r="A3" s="27" t="s">
        <v>17</v>
      </c>
      <c r="B3" s="27"/>
      <c r="C3" s="27"/>
      <c r="D3" s="27"/>
      <c r="E3" s="27"/>
      <c r="F3" s="27"/>
      <c r="G3" s="27"/>
      <c r="H3" s="27"/>
      <c r="I3" s="27"/>
      <c r="J3" s="27"/>
      <c r="K3" s="27"/>
      <c r="L3" s="27"/>
      <c r="M3" s="27"/>
      <c r="N3" s="27"/>
      <c r="O3" s="27"/>
      <c r="P3" s="27"/>
      <c r="Q3" s="27"/>
      <c r="R3" s="27"/>
      <c r="S3" s="27"/>
      <c r="T3" s="27"/>
      <c r="U3" s="27"/>
      <c r="V3" s="27"/>
      <c r="W3" s="27"/>
      <c r="X3" s="27"/>
      <c r="Y3" s="27"/>
      <c r="Z3" s="27"/>
    </row>
    <row r="4" spans="1:26" ht="13.5" customHeight="1" x14ac:dyDescent="0.25">
      <c r="A4" s="28" t="str">
        <f>"at Conclusion of October Terms, "&amp;(RIGHT('[1]Raw Data - Tab 28 Curr Term'!$A$1,4)-4)&amp;" Through "&amp;RIGHT('[1]Raw Data - Tab 28 Curr Term'!$A$1,4)</f>
        <v>at Conclusion of October Terms, 2014 Through 2018</v>
      </c>
      <c r="B4" s="28"/>
      <c r="C4" s="28"/>
      <c r="D4" s="28"/>
      <c r="E4" s="28"/>
      <c r="F4" s="28"/>
      <c r="G4" s="28"/>
      <c r="H4" s="28"/>
      <c r="I4" s="28"/>
      <c r="J4" s="28"/>
      <c r="K4" s="28"/>
      <c r="L4" s="28"/>
      <c r="M4" s="28"/>
      <c r="N4" s="28"/>
      <c r="O4" s="28"/>
      <c r="P4" s="28"/>
      <c r="Q4" s="28"/>
      <c r="R4" s="28"/>
      <c r="S4" s="28"/>
      <c r="T4" s="28"/>
      <c r="U4" s="28"/>
      <c r="V4" s="28"/>
      <c r="W4" s="28"/>
      <c r="X4" s="28"/>
      <c r="Y4" s="28"/>
      <c r="Z4" s="28"/>
    </row>
    <row r="5" spans="1:26" ht="13.5" customHeight="1" x14ac:dyDescent="0.2"/>
    <row r="6" spans="1:26" ht="13.5" customHeight="1" x14ac:dyDescent="0.2">
      <c r="A6" s="19" t="s">
        <v>8</v>
      </c>
      <c r="B6" s="29"/>
      <c r="C6" s="18" t="s">
        <v>16</v>
      </c>
      <c r="D6" s="19"/>
      <c r="E6" s="19"/>
      <c r="F6" s="19"/>
      <c r="G6" s="19"/>
      <c r="H6" s="19"/>
      <c r="I6" s="18" t="s">
        <v>15</v>
      </c>
      <c r="J6" s="19"/>
      <c r="K6" s="19"/>
      <c r="L6" s="19"/>
      <c r="M6" s="19"/>
      <c r="N6" s="19"/>
      <c r="O6" s="18" t="s">
        <v>14</v>
      </c>
      <c r="P6" s="19"/>
      <c r="Q6" s="19"/>
      <c r="R6" s="19"/>
      <c r="S6" s="19"/>
      <c r="T6" s="19"/>
      <c r="U6" s="18" t="s">
        <v>13</v>
      </c>
      <c r="V6" s="19"/>
      <c r="W6" s="19"/>
      <c r="X6" s="19"/>
      <c r="Y6" s="19"/>
      <c r="Z6" s="19"/>
    </row>
    <row r="7" spans="1:26" ht="13.5" customHeight="1" x14ac:dyDescent="0.2">
      <c r="A7" s="21"/>
      <c r="B7" s="30"/>
      <c r="C7" s="20"/>
      <c r="D7" s="21"/>
      <c r="E7" s="21"/>
      <c r="F7" s="21"/>
      <c r="G7" s="21"/>
      <c r="H7" s="21"/>
      <c r="I7" s="20"/>
      <c r="J7" s="21"/>
      <c r="K7" s="21"/>
      <c r="L7" s="21"/>
      <c r="M7" s="21"/>
      <c r="N7" s="21"/>
      <c r="O7" s="20"/>
      <c r="P7" s="21"/>
      <c r="Q7" s="21"/>
      <c r="R7" s="21"/>
      <c r="S7" s="21"/>
      <c r="T7" s="21"/>
      <c r="U7" s="20"/>
      <c r="V7" s="21"/>
      <c r="W7" s="21"/>
      <c r="X7" s="21"/>
      <c r="Y7" s="21"/>
      <c r="Z7" s="21"/>
    </row>
    <row r="8" spans="1:26" ht="3.75"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1.25" customHeight="1" x14ac:dyDescent="0.2">
      <c r="A9" s="24"/>
      <c r="B9" s="24"/>
      <c r="C9" s="23"/>
      <c r="D9" s="23"/>
      <c r="E9" s="23"/>
      <c r="F9" s="23"/>
      <c r="G9" s="23"/>
      <c r="H9" s="23"/>
      <c r="I9" s="23"/>
      <c r="J9" s="23"/>
      <c r="K9" s="23"/>
      <c r="L9" s="23"/>
      <c r="M9" s="23"/>
      <c r="N9" s="23"/>
      <c r="O9" s="23"/>
      <c r="P9" s="23"/>
      <c r="Q9" s="23"/>
      <c r="R9" s="23"/>
      <c r="S9" s="23"/>
      <c r="T9" s="23"/>
      <c r="U9" s="23"/>
      <c r="V9" s="23"/>
      <c r="W9" s="23"/>
      <c r="X9" s="23"/>
      <c r="Y9" s="23"/>
      <c r="Z9" s="23"/>
    </row>
    <row r="10" spans="1:26" ht="11.25" customHeight="1" x14ac:dyDescent="0.2">
      <c r="B10" s="4">
        <f>RIGHT('[1]Raw Data - Tab 28 Curr Term'!$A$1,4)-4</f>
        <v>2014</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ht="11.25" customHeight="1" x14ac:dyDescent="0.2">
      <c r="A11" s="14" t="s">
        <v>12</v>
      </c>
      <c r="B11" s="14"/>
      <c r="C11" s="23"/>
      <c r="D11" s="23"/>
      <c r="E11" s="13">
        <f>'[1]Raw Data - Prior Year A-1'!E16:F16</f>
        <v>8066</v>
      </c>
      <c r="F11" s="13"/>
      <c r="G11" s="22"/>
      <c r="H11" s="22"/>
      <c r="I11" s="22"/>
      <c r="J11" s="22"/>
      <c r="K11" s="13">
        <f>'[1]Raw Data - Prior Year A-1'!K16:L16</f>
        <v>6</v>
      </c>
      <c r="L11" s="13"/>
      <c r="M11" s="22"/>
      <c r="N11" s="22"/>
      <c r="O11" s="22"/>
      <c r="P11" s="22"/>
      <c r="Q11" s="13">
        <f>'[1]Raw Data - Prior Year A-1'!Q16:R16</f>
        <v>1845</v>
      </c>
      <c r="R11" s="13"/>
      <c r="S11" s="22"/>
      <c r="T11" s="22"/>
      <c r="U11" s="22"/>
      <c r="V11" s="22"/>
      <c r="W11" s="13">
        <f>'[1]Raw Data - Prior Year A-1'!W16:X16</f>
        <v>6215</v>
      </c>
      <c r="X11" s="13"/>
      <c r="Y11" s="23"/>
      <c r="Z11" s="23"/>
    </row>
    <row r="12" spans="1:26" ht="11.25" customHeight="1" x14ac:dyDescent="0.2">
      <c r="A12" s="14" t="s">
        <v>11</v>
      </c>
      <c r="B12" s="14"/>
      <c r="C12" s="23"/>
      <c r="D12" s="23"/>
      <c r="E12" s="13">
        <f>'[1]Raw Data - Prior Year A-1'!E17:F17</f>
        <v>7006</v>
      </c>
      <c r="F12" s="13"/>
      <c r="G12" s="22"/>
      <c r="H12" s="22"/>
      <c r="I12" s="22"/>
      <c r="J12" s="22"/>
      <c r="K12" s="13">
        <f>'[1]Raw Data - Prior Year A-1'!K17:L17</f>
        <v>1</v>
      </c>
      <c r="L12" s="13"/>
      <c r="M12" s="22"/>
      <c r="N12" s="22"/>
      <c r="O12" s="22"/>
      <c r="P12" s="22"/>
      <c r="Q12" s="13">
        <f>'[1]Raw Data - Prior Year A-1'!Q17:R17</f>
        <v>1552</v>
      </c>
      <c r="R12" s="13"/>
      <c r="S12" s="22"/>
      <c r="T12" s="22"/>
      <c r="U12" s="22"/>
      <c r="V12" s="22"/>
      <c r="W12" s="13">
        <f>'[1]Raw Data - Prior Year A-1'!W17:X17</f>
        <v>5453</v>
      </c>
      <c r="X12" s="13"/>
      <c r="Y12" s="23"/>
      <c r="Z12" s="23"/>
    </row>
    <row r="13" spans="1:26" ht="11.25" customHeight="1" x14ac:dyDescent="0.2">
      <c r="A13" s="14" t="s">
        <v>10</v>
      </c>
      <c r="B13" s="14"/>
      <c r="C13" s="23"/>
      <c r="D13" s="23"/>
      <c r="E13" s="13">
        <f>'[1]Raw Data - Prior Year A-1'!E18:F18</f>
        <v>1060</v>
      </c>
      <c r="F13" s="13"/>
      <c r="G13" s="22"/>
      <c r="H13" s="22"/>
      <c r="I13" s="22"/>
      <c r="J13" s="22"/>
      <c r="K13" s="13">
        <f>'[1]Raw Data - Prior Year A-1'!K18:L18</f>
        <v>5</v>
      </c>
      <c r="L13" s="13"/>
      <c r="M13" s="22"/>
      <c r="N13" s="22"/>
      <c r="O13" s="22"/>
      <c r="P13" s="22"/>
      <c r="Q13" s="13">
        <f>'[1]Raw Data - Prior Year A-1'!Q18:R18</f>
        <v>293</v>
      </c>
      <c r="R13" s="13"/>
      <c r="S13" s="22"/>
      <c r="T13" s="22"/>
      <c r="U13" s="22"/>
      <c r="V13" s="22"/>
      <c r="W13" s="13">
        <f>'[1]Raw Data - Prior Year A-1'!W18:X18</f>
        <v>762</v>
      </c>
      <c r="X13" s="13"/>
      <c r="Y13" s="23"/>
      <c r="Z13" s="23"/>
    </row>
    <row r="14" spans="1:26" ht="11.25" customHeight="1" x14ac:dyDescent="0.2">
      <c r="A14" s="31"/>
      <c r="B14" s="31"/>
      <c r="C14" s="23"/>
      <c r="D14" s="23"/>
      <c r="E14" s="22"/>
      <c r="F14" s="22"/>
      <c r="G14" s="22"/>
      <c r="H14" s="22"/>
      <c r="I14" s="22"/>
      <c r="J14" s="22"/>
      <c r="K14" s="22"/>
      <c r="L14" s="22"/>
      <c r="M14" s="22"/>
      <c r="N14" s="22"/>
      <c r="O14" s="22"/>
      <c r="P14" s="22"/>
      <c r="Q14" s="22"/>
      <c r="R14" s="22"/>
      <c r="S14" s="22"/>
      <c r="T14" s="22"/>
      <c r="U14" s="22"/>
      <c r="V14" s="22"/>
      <c r="W14" s="22"/>
      <c r="X14" s="22"/>
      <c r="Y14" s="23"/>
      <c r="Z14" s="23"/>
    </row>
    <row r="15" spans="1:26" ht="11.25" customHeight="1" x14ac:dyDescent="0.2">
      <c r="B15" s="4">
        <f>RIGHT('[1]Raw Data - Tab 28 Curr Term'!$A$1,4)-3</f>
        <v>2015</v>
      </c>
      <c r="C15" s="23"/>
      <c r="D15" s="23"/>
      <c r="E15" s="22"/>
      <c r="F15" s="22"/>
      <c r="G15" s="22"/>
      <c r="H15" s="22"/>
      <c r="I15" s="22"/>
      <c r="J15" s="22"/>
      <c r="K15" s="22"/>
      <c r="L15" s="22"/>
      <c r="M15" s="22"/>
      <c r="N15" s="22"/>
      <c r="O15" s="22"/>
      <c r="P15" s="22"/>
      <c r="Q15" s="22"/>
      <c r="R15" s="22"/>
      <c r="S15" s="22"/>
      <c r="T15" s="22"/>
      <c r="U15" s="22"/>
      <c r="V15" s="22"/>
      <c r="W15" s="22"/>
      <c r="X15" s="22"/>
      <c r="Y15" s="23"/>
      <c r="Z15" s="23"/>
    </row>
    <row r="16" spans="1:26" ht="11.25" customHeight="1" x14ac:dyDescent="0.2">
      <c r="A16" s="14" t="s">
        <v>12</v>
      </c>
      <c r="B16" s="14"/>
      <c r="C16" s="23"/>
      <c r="D16" s="23"/>
      <c r="E16" s="13">
        <f>'[1]Raw Data - Prior Year A-1'!E21:F21</f>
        <v>7535</v>
      </c>
      <c r="F16" s="13"/>
      <c r="G16" s="22"/>
      <c r="H16" s="22"/>
      <c r="I16" s="22"/>
      <c r="J16" s="22"/>
      <c r="K16" s="13">
        <f>'[1]Raw Data - Prior Year A-1'!K21:L21</f>
        <v>8</v>
      </c>
      <c r="L16" s="13"/>
      <c r="M16" s="22"/>
      <c r="N16" s="22"/>
      <c r="O16" s="22"/>
      <c r="P16" s="22"/>
      <c r="Q16" s="13">
        <f>'[1]Raw Data - Prior Year A-1'!Q21:R21</f>
        <v>1839</v>
      </c>
      <c r="R16" s="13"/>
      <c r="S16" s="22"/>
      <c r="T16" s="22"/>
      <c r="U16" s="22"/>
      <c r="V16" s="22"/>
      <c r="W16" s="13">
        <f>'[1]Raw Data - Prior Year A-1'!W21:X21</f>
        <v>5688</v>
      </c>
      <c r="X16" s="13"/>
      <c r="Y16" s="23"/>
      <c r="Z16" s="23"/>
    </row>
    <row r="17" spans="1:26" ht="11.25" customHeight="1" x14ac:dyDescent="0.2">
      <c r="A17" s="14" t="s">
        <v>11</v>
      </c>
      <c r="B17" s="14"/>
      <c r="C17" s="23"/>
      <c r="D17" s="23"/>
      <c r="E17" s="13">
        <f>'[1]Raw Data - Prior Year A-1'!E22:F22</f>
        <v>6506</v>
      </c>
      <c r="F17" s="13"/>
      <c r="G17" s="22"/>
      <c r="H17" s="22"/>
      <c r="I17" s="22"/>
      <c r="J17" s="22"/>
      <c r="K17" s="13">
        <f>'[1]Raw Data - Prior Year A-1'!K22:L22</f>
        <v>1</v>
      </c>
      <c r="L17" s="13"/>
      <c r="M17" s="22"/>
      <c r="N17" s="22"/>
      <c r="O17" s="22"/>
      <c r="P17" s="22"/>
      <c r="Q17" s="13">
        <f>'[1]Raw Data - Prior Year A-1'!Q22:R22</f>
        <v>1539</v>
      </c>
      <c r="R17" s="13"/>
      <c r="S17" s="22"/>
      <c r="T17" s="22"/>
      <c r="U17" s="22"/>
      <c r="V17" s="22"/>
      <c r="W17" s="13">
        <f>'[1]Raw Data - Prior Year A-1'!W22:X22</f>
        <v>4966</v>
      </c>
      <c r="X17" s="13"/>
      <c r="Y17" s="23"/>
      <c r="Z17" s="23"/>
    </row>
    <row r="18" spans="1:26" ht="11.25" customHeight="1" x14ac:dyDescent="0.2">
      <c r="A18" s="14" t="s">
        <v>10</v>
      </c>
      <c r="B18" s="14"/>
      <c r="C18" s="23"/>
      <c r="D18" s="23"/>
      <c r="E18" s="13">
        <f>'[1]Raw Data - Prior Year A-1'!E23:F23</f>
        <v>1029</v>
      </c>
      <c r="F18" s="13"/>
      <c r="G18" s="22"/>
      <c r="H18" s="22"/>
      <c r="I18" s="22"/>
      <c r="J18" s="22"/>
      <c r="K18" s="13">
        <f>'[1]Raw Data - Prior Year A-1'!K23:L23</f>
        <v>7</v>
      </c>
      <c r="L18" s="13"/>
      <c r="M18" s="22"/>
      <c r="N18" s="22"/>
      <c r="O18" s="22"/>
      <c r="P18" s="22"/>
      <c r="Q18" s="13">
        <f>'[1]Raw Data - Prior Year A-1'!Q23:R23</f>
        <v>300</v>
      </c>
      <c r="R18" s="13"/>
      <c r="S18" s="22"/>
      <c r="T18" s="22"/>
      <c r="U18" s="22"/>
      <c r="V18" s="22"/>
      <c r="W18" s="13">
        <f>'[1]Raw Data - Prior Year A-1'!W23:X23</f>
        <v>722</v>
      </c>
      <c r="X18" s="13"/>
      <c r="Y18" s="23"/>
      <c r="Z18" s="23"/>
    </row>
    <row r="19" spans="1:26" ht="11.25" customHeight="1" x14ac:dyDescent="0.2">
      <c r="A19" s="31"/>
      <c r="B19" s="31"/>
      <c r="C19" s="23"/>
      <c r="D19" s="23"/>
      <c r="E19" s="22"/>
      <c r="F19" s="22"/>
      <c r="G19" s="22"/>
      <c r="H19" s="22"/>
      <c r="I19" s="22"/>
      <c r="J19" s="22"/>
      <c r="K19" s="22"/>
      <c r="L19" s="22"/>
      <c r="M19" s="22"/>
      <c r="N19" s="22"/>
      <c r="O19" s="22"/>
      <c r="P19" s="22"/>
      <c r="Q19" s="22"/>
      <c r="R19" s="22"/>
      <c r="S19" s="22"/>
      <c r="T19" s="22"/>
      <c r="U19" s="22"/>
      <c r="V19" s="22"/>
      <c r="W19" s="22"/>
      <c r="X19" s="22"/>
      <c r="Y19" s="23"/>
      <c r="Z19" s="23"/>
    </row>
    <row r="20" spans="1:26" ht="11.25" customHeight="1" x14ac:dyDescent="0.2">
      <c r="B20" s="4">
        <f>RIGHT('[1]Raw Data - Tab 28 Curr Term'!$A$1,4)-2</f>
        <v>2016</v>
      </c>
      <c r="C20" s="23"/>
      <c r="D20" s="23"/>
      <c r="E20" s="22"/>
      <c r="F20" s="22"/>
      <c r="G20" s="22"/>
      <c r="H20" s="22"/>
      <c r="I20" s="22"/>
      <c r="J20" s="22"/>
      <c r="K20" s="22"/>
      <c r="L20" s="22"/>
      <c r="M20" s="22"/>
      <c r="N20" s="22"/>
      <c r="O20" s="22"/>
      <c r="P20" s="22"/>
      <c r="Q20" s="22"/>
      <c r="R20" s="22"/>
      <c r="S20" s="22"/>
      <c r="T20" s="22"/>
      <c r="U20" s="22"/>
      <c r="V20" s="22"/>
      <c r="W20" s="22"/>
      <c r="X20" s="22"/>
      <c r="Y20" s="23"/>
      <c r="Z20" s="23"/>
    </row>
    <row r="21" spans="1:26" ht="11.25" customHeight="1" x14ac:dyDescent="0.2">
      <c r="A21" s="14" t="s">
        <v>12</v>
      </c>
      <c r="B21" s="14"/>
      <c r="C21" s="23"/>
      <c r="D21" s="23"/>
      <c r="E21" s="22">
        <f>IF(VLOOKUP(24,'[1]Raw Data - Tab 28 Curr Term'!$A$1:$J$100,7,FALSE)-SUM(K21,Q21,W21)=0,IF(SUM(K21,Q21,W21)-SUM(E22:F23)=0,SUM(K21,Q21,W21),"ERROR"),"ERROR")</f>
        <v>7334</v>
      </c>
      <c r="F21" s="22"/>
      <c r="G21" s="22"/>
      <c r="H21" s="22"/>
      <c r="I21" s="22"/>
      <c r="J21" s="22"/>
      <c r="K21" s="22">
        <f>IF(VLOOKUP(21,'[1]Raw Data - Tab 28 Curr Term'!$A$1:$I$100,7,FALSE)-SUM(K22:L23)=0,SUM(K22:L23),"ERROR")</f>
        <v>7</v>
      </c>
      <c r="L21" s="22"/>
      <c r="M21" s="22"/>
      <c r="N21" s="22"/>
      <c r="O21" s="22"/>
      <c r="P21" s="22"/>
      <c r="Q21" s="22">
        <f>IF(VLOOKUP(3,'[1]Raw Data - Tab 28 Curr Term'!$A$1:$I$100,7,FALSE)-SUM(Q22:R23)=0,SUM(Q22:R23),"ERROR")</f>
        <v>1850</v>
      </c>
      <c r="R21" s="22"/>
      <c r="S21" s="22"/>
      <c r="T21" s="22"/>
      <c r="U21" s="22"/>
      <c r="V21" s="22"/>
      <c r="W21" s="22">
        <f>IF(VLOOKUP(12,'[1]Raw Data - Tab 28 Curr Term'!$A$1:$I$100,7,FALSE)-SUM(W22:X23)=0,SUM(W22:X23),"ERROR")</f>
        <v>5477</v>
      </c>
      <c r="X21" s="22"/>
      <c r="Y21" s="23"/>
      <c r="Z21" s="23"/>
    </row>
    <row r="22" spans="1:26" ht="11.25" customHeight="1" x14ac:dyDescent="0.2">
      <c r="A22" s="14" t="s">
        <v>11</v>
      </c>
      <c r="B22" s="14"/>
      <c r="C22" s="23"/>
      <c r="D22" s="23"/>
      <c r="E22" s="22">
        <f>IF(((VLOOKUP(8,'[1]Raw Data - Tab 28 Curr Term'!$A$1:$J$100,7,FALSE)+VLOOKUP(17,'[1]Raw Data - Tab 28 Curr Term'!$A$1:$J$100,7,FALSE)+VLOOKUP(22,'[1]Raw Data - Tab 28 Curr Term'!$A$1:$J$100,7,FALSE))-(VLOOKUP(4,'[1]Raw Data - Tab 28 Curr Term'!$A$1:$J$100,5,FALSE)+VLOOKUP(13,'[1]Raw Data - Tab 28 Curr Term'!$A$1:$J$100,5,FALSE)))-SUM(K22,Q22,W22)=0,SUM(K22,Q22,W22),"ERROR")</f>
        <v>6258</v>
      </c>
      <c r="F22" s="22"/>
      <c r="G22" s="22"/>
      <c r="H22" s="22"/>
      <c r="I22" s="22"/>
      <c r="J22" s="22"/>
      <c r="K22" s="22">
        <f>VLOOKUP(22,'[1]Raw Data - Tab 28 Curr Term'!$A$1:$J$100,7,FALSE)</f>
        <v>1</v>
      </c>
      <c r="L22" s="22"/>
      <c r="M22" s="22"/>
      <c r="N22" s="22"/>
      <c r="O22" s="22"/>
      <c r="P22" s="22"/>
      <c r="Q22" s="22">
        <f>VLOOKUP(8,'[1]Raw Data - Tab 28 Curr Term'!$A$1:$J$100,7,FALSE)-VLOOKUP(4,'[1]Raw Data - Tab 28 Curr Term'!$A$1:$J$100,5,FALSE)</f>
        <v>1505</v>
      </c>
      <c r="R22" s="22"/>
      <c r="S22" s="22"/>
      <c r="T22" s="22"/>
      <c r="U22" s="22"/>
      <c r="V22" s="22"/>
      <c r="W22" s="22">
        <f>VLOOKUP(17,'[1]Raw Data - Tab 28 Curr Term'!$A$1:$J$100,7,FALSE)-VLOOKUP(13,'[1]Raw Data - Tab 28 Curr Term'!$A$1:$J$100,5,FALSE)</f>
        <v>4752</v>
      </c>
      <c r="X22" s="22"/>
      <c r="Y22" s="23"/>
      <c r="Z22" s="23"/>
    </row>
    <row r="23" spans="1:26" ht="11.25" customHeight="1" x14ac:dyDescent="0.2">
      <c r="A23" s="14" t="s">
        <v>10</v>
      </c>
      <c r="B23" s="14"/>
      <c r="C23" s="23"/>
      <c r="D23" s="23"/>
      <c r="E23" s="22">
        <f>IF((VLOOKUP(9,'[1]Raw Data - Tab 28 Curr Term'!$A$1:$J$100,7,FALSE)+VLOOKUP(18,'[1]Raw Data - Tab 28 Curr Term'!$A$1:$J$100,7,FALSE)+VLOOKUP(23,'[1]Raw Data - Tab 28 Curr Term'!$A$1:$J$100,7,FALSE)+VLOOKUP(4,'[1]Raw Data - Tab 28 Curr Term'!$A$1:$J$100,5,FALSE)+VLOOKUP(13,'[1]Raw Data - Tab 28 Curr Term'!$A$1:$J$100,5,FALSE))-SUM(K23,Q23,W23)=0,SUM(K23,Q23,W23),"ERROR")</f>
        <v>1076</v>
      </c>
      <c r="F23" s="22"/>
      <c r="G23" s="22"/>
      <c r="H23" s="22"/>
      <c r="I23" s="22"/>
      <c r="J23" s="22"/>
      <c r="K23" s="22">
        <f>VLOOKUP(23,'[1]Raw Data - Tab 28 Curr Term'!$A$1:$J$100,7,FALSE)</f>
        <v>6</v>
      </c>
      <c r="L23" s="22"/>
      <c r="M23" s="22"/>
      <c r="N23" s="22"/>
      <c r="O23" s="22"/>
      <c r="P23" s="22"/>
      <c r="Q23" s="22">
        <f>VLOOKUP(9,'[1]Raw Data - Tab 28 Curr Term'!$A$1:$J$100,7,FALSE)+VLOOKUP(4,'[1]Raw Data - Tab 28 Curr Term'!$A$1:$J$100,5,FALSE)</f>
        <v>345</v>
      </c>
      <c r="R23" s="22"/>
      <c r="S23" s="22"/>
      <c r="T23" s="22"/>
      <c r="U23" s="22"/>
      <c r="V23" s="22"/>
      <c r="W23" s="22">
        <f>VLOOKUP(18,'[1]Raw Data - Tab 28 Curr Term'!$A$1:$J$100,7,FALSE)+VLOOKUP(13,'[1]Raw Data - Tab 28 Curr Term'!$A$1:$J$100,5,FALSE)</f>
        <v>725</v>
      </c>
      <c r="X23" s="22"/>
      <c r="Y23" s="23"/>
      <c r="Z23" s="23"/>
    </row>
    <row r="24" spans="1:26" ht="11.25" customHeight="1" x14ac:dyDescent="0.2">
      <c r="A24" s="31"/>
      <c r="B24" s="31"/>
      <c r="C24" s="23"/>
      <c r="D24" s="23"/>
      <c r="E24" s="22"/>
      <c r="F24" s="22"/>
      <c r="G24" s="22"/>
      <c r="H24" s="22"/>
      <c r="I24" s="22"/>
      <c r="J24" s="22"/>
      <c r="K24" s="22"/>
      <c r="L24" s="22"/>
      <c r="M24" s="22"/>
      <c r="N24" s="22"/>
      <c r="O24" s="22"/>
      <c r="P24" s="22"/>
      <c r="Q24" s="22"/>
      <c r="R24" s="22"/>
      <c r="S24" s="22"/>
      <c r="T24" s="22"/>
      <c r="U24" s="22"/>
      <c r="V24" s="22"/>
      <c r="W24" s="22"/>
      <c r="X24" s="22"/>
      <c r="Y24" s="23"/>
      <c r="Z24" s="23"/>
    </row>
    <row r="25" spans="1:26" ht="11.25" customHeight="1" x14ac:dyDescent="0.2">
      <c r="B25" s="4">
        <f>RIGHT('[1]Raw Data - Tab 28 Curr Term'!$A$1,4)-1</f>
        <v>2017</v>
      </c>
      <c r="C25" s="23"/>
      <c r="D25" s="23"/>
      <c r="E25" s="22"/>
      <c r="F25" s="22"/>
      <c r="G25" s="22"/>
      <c r="H25" s="22"/>
      <c r="I25" s="22"/>
      <c r="J25" s="22"/>
      <c r="K25" s="22"/>
      <c r="L25" s="22"/>
      <c r="M25" s="22"/>
      <c r="N25" s="22"/>
      <c r="O25" s="22"/>
      <c r="P25" s="22"/>
      <c r="Q25" s="22"/>
      <c r="R25" s="22"/>
      <c r="S25" s="22"/>
      <c r="T25" s="22"/>
      <c r="U25" s="22"/>
      <c r="V25" s="22"/>
      <c r="W25" s="22"/>
      <c r="X25" s="22"/>
      <c r="Y25" s="23"/>
      <c r="Z25" s="23"/>
    </row>
    <row r="26" spans="1:26" ht="11.25" customHeight="1" x14ac:dyDescent="0.2">
      <c r="A26" s="14" t="s">
        <v>12</v>
      </c>
      <c r="B26" s="14"/>
      <c r="C26" s="23"/>
      <c r="D26" s="23"/>
      <c r="E26" s="22">
        <f>IF(VLOOKUP(24,'[1]Raw Data - Tab 28 Curr Term'!$A$1:$J$100,5,FALSE)-SUM(K26,Q26,W26)=0,IF(SUM(K26,Q26,W26)-SUM(E27:F28)=0,SUM(K26,Q26,W26),"ERROR"),"ERROR")</f>
        <v>7390</v>
      </c>
      <c r="F26" s="22"/>
      <c r="G26" s="22"/>
      <c r="H26" s="22"/>
      <c r="I26" s="22"/>
      <c r="J26" s="22"/>
      <c r="K26" s="22">
        <f>IF(VLOOKUP(21,'[1]Raw Data - Tab 28 Curr Term'!$A$1:$J$100,5,FALSE)-SUM(K27:L28)=0,SUM(K27:L28),"ERROR")</f>
        <v>8</v>
      </c>
      <c r="L26" s="22"/>
      <c r="M26" s="22"/>
      <c r="N26" s="22"/>
      <c r="O26" s="22"/>
      <c r="P26" s="22"/>
      <c r="Q26" s="22">
        <f>IF(VLOOKUP(3,'[1]Raw Data - Tab 28 Curr Term'!$A$1:$J$100,5,FALSE)-SUM(Q27:R28)=0,SUM(Q27:R28),"ERROR")</f>
        <v>2062</v>
      </c>
      <c r="R26" s="22"/>
      <c r="S26" s="22"/>
      <c r="T26" s="22"/>
      <c r="U26" s="22"/>
      <c r="V26" s="22"/>
      <c r="W26" s="22">
        <f>IF(VLOOKUP(12,'[1]Raw Data - Tab 28 Curr Term'!$A$1:$J$100,5,FALSE)-SUM(W27:X28)=0,SUM(W27:X28),"ERROR")</f>
        <v>5320</v>
      </c>
      <c r="X26" s="22"/>
      <c r="Y26" s="23"/>
      <c r="Z26" s="23"/>
    </row>
    <row r="27" spans="1:26" ht="11.25" customHeight="1" x14ac:dyDescent="0.2">
      <c r="A27" s="14" t="s">
        <v>11</v>
      </c>
      <c r="B27" s="14"/>
      <c r="C27" s="23"/>
      <c r="D27" s="23"/>
      <c r="E27" s="22">
        <f>IF(((VLOOKUP(8,'[1]Raw Data - Tab 28 Curr Term'!$A$1:$J$100,5,FALSE)+VLOOKUP(17,'[1]Raw Data - Tab 28 Curr Term'!$A$1:$J$100,5,FALSE)+VLOOKUP(22,'[1]Raw Data - Tab 28 Curr Term'!$A$1:$J$100,5,FALSE))-(VLOOKUP(4,'[1]Raw Data - Tab 28 Curr Term'!$A$1:$J$100,3,FALSE)+VLOOKUP(13,'[1]Raw Data - Tab 28 Curr Term'!$A$1:$J$100,3,FALSE)))-SUM(K27,Q27,W27)=0,SUM(K27,Q27,W27),"ERROR")</f>
        <v>6192</v>
      </c>
      <c r="F27" s="22"/>
      <c r="G27" s="22"/>
      <c r="H27" s="22"/>
      <c r="I27" s="22"/>
      <c r="J27" s="22"/>
      <c r="K27" s="22">
        <f>VLOOKUP(22,'[1]Raw Data - Tab 28 Curr Term'!$A$1:$J$100,5,FALSE)</f>
        <v>1</v>
      </c>
      <c r="L27" s="22"/>
      <c r="M27" s="22"/>
      <c r="N27" s="22"/>
      <c r="O27" s="22"/>
      <c r="P27" s="22"/>
      <c r="Q27" s="22">
        <f>VLOOKUP(8,'[1]Raw Data - Tab 28 Curr Term'!$A$1:$J$100,5,FALSE)-VLOOKUP(4,'[1]Raw Data - Tab 28 Curr Term'!$A$1:$J$100,3,FALSE)</f>
        <v>1728</v>
      </c>
      <c r="R27" s="22"/>
      <c r="S27" s="22"/>
      <c r="T27" s="22"/>
      <c r="U27" s="22"/>
      <c r="V27" s="22"/>
      <c r="W27" s="22">
        <f>VLOOKUP(17,'[1]Raw Data - Tab 28 Curr Term'!$A$1:$J$100,5,FALSE)-VLOOKUP(13,'[1]Raw Data - Tab 28 Curr Term'!$A$1:$J$100,3,FALSE)</f>
        <v>4463</v>
      </c>
      <c r="X27" s="22"/>
      <c r="Y27" s="23"/>
      <c r="Z27" s="23"/>
    </row>
    <row r="28" spans="1:26" ht="11.25" customHeight="1" x14ac:dyDescent="0.2">
      <c r="A28" s="14" t="s">
        <v>10</v>
      </c>
      <c r="B28" s="14"/>
      <c r="C28" s="23"/>
      <c r="D28" s="23"/>
      <c r="E28" s="22">
        <f>IF((VLOOKUP(9,'[1]Raw Data - Tab 28 Curr Term'!$A$1:$J$100,5,FALSE)+VLOOKUP(18,'[1]Raw Data - Tab 28 Curr Term'!$A$1:$J$100,5,FALSE)+VLOOKUP(23,'[1]Raw Data - Tab 28 Curr Term'!$A$1:$J$100,5,FALSE)+VLOOKUP(4,'[1]Raw Data - Tab 28 Curr Term'!$A$1:$J$100,3,FALSE)+VLOOKUP(13,'[1]Raw Data - Tab 28 Curr Term'!$A$1:$J$100,3,FALSE))-SUM(K28,Q28,W28)=0,SUM(K28,Q28,W28),"ERROR")</f>
        <v>1198</v>
      </c>
      <c r="F28" s="22"/>
      <c r="G28" s="22"/>
      <c r="H28" s="22"/>
      <c r="I28" s="22"/>
      <c r="J28" s="22"/>
      <c r="K28" s="22">
        <f>VLOOKUP(23,'[1]Raw Data - Tab 28 Curr Term'!$A$1:$J$100,5,FALSE)</f>
        <v>7</v>
      </c>
      <c r="L28" s="22"/>
      <c r="M28" s="22"/>
      <c r="N28" s="22"/>
      <c r="O28" s="22"/>
      <c r="P28" s="22"/>
      <c r="Q28" s="22">
        <f>VLOOKUP(9,'[1]Raw Data - Tab 28 Curr Term'!$A$1:$J$100,5,FALSE)+VLOOKUP(4,'[1]Raw Data - Tab 28 Curr Term'!$A$1:$J$100,3,FALSE)</f>
        <v>334</v>
      </c>
      <c r="R28" s="22"/>
      <c r="S28" s="22"/>
      <c r="T28" s="22"/>
      <c r="U28" s="22"/>
      <c r="V28" s="22"/>
      <c r="W28" s="22">
        <f>VLOOKUP(18,'[1]Raw Data - Tab 28 Curr Term'!$A$1:$J$100,5,FALSE)+VLOOKUP(13,'[1]Raw Data - Tab 28 Curr Term'!$A$1:$J$100,3,FALSE)</f>
        <v>857</v>
      </c>
      <c r="X28" s="22"/>
      <c r="Y28" s="23"/>
      <c r="Z28" s="23"/>
    </row>
    <row r="29" spans="1:26" ht="11.25" customHeight="1" x14ac:dyDescent="0.2">
      <c r="A29" s="31"/>
      <c r="B29" s="31"/>
      <c r="C29" s="23"/>
      <c r="D29" s="23"/>
      <c r="E29" s="22"/>
      <c r="F29" s="22"/>
      <c r="G29" s="22"/>
      <c r="H29" s="22"/>
      <c r="I29" s="22"/>
      <c r="J29" s="22"/>
      <c r="K29" s="22"/>
      <c r="L29" s="22"/>
      <c r="M29" s="22"/>
      <c r="N29" s="22"/>
      <c r="O29" s="22"/>
      <c r="P29" s="22"/>
      <c r="Q29" s="22"/>
      <c r="R29" s="22"/>
      <c r="S29" s="22"/>
      <c r="T29" s="22"/>
      <c r="U29" s="22"/>
      <c r="V29" s="22"/>
      <c r="W29" s="22"/>
      <c r="X29" s="22"/>
      <c r="Y29" s="23"/>
      <c r="Z29" s="23"/>
    </row>
    <row r="30" spans="1:26" ht="11.25" customHeight="1" x14ac:dyDescent="0.2">
      <c r="B30" s="4" t="str">
        <f>RIGHT('[1]Raw Data - Tab 28 Curr Term'!$A$1,4)</f>
        <v>2018</v>
      </c>
      <c r="C30" s="23"/>
      <c r="D30" s="23"/>
      <c r="E30" s="22"/>
      <c r="F30" s="22"/>
      <c r="G30" s="22"/>
      <c r="H30" s="22"/>
      <c r="I30" s="22"/>
      <c r="J30" s="22"/>
      <c r="K30" s="22"/>
      <c r="L30" s="22"/>
      <c r="M30" s="22"/>
      <c r="N30" s="22"/>
      <c r="O30" s="22"/>
      <c r="P30" s="22"/>
      <c r="Q30" s="22"/>
      <c r="R30" s="22"/>
      <c r="S30" s="22"/>
      <c r="T30" s="22"/>
      <c r="U30" s="22"/>
      <c r="V30" s="22"/>
      <c r="W30" s="22"/>
      <c r="X30" s="22"/>
      <c r="Y30" s="23"/>
      <c r="Z30" s="23"/>
    </row>
    <row r="31" spans="1:26" ht="11.25" customHeight="1" x14ac:dyDescent="0.2">
      <c r="A31" s="14" t="s">
        <v>12</v>
      </c>
      <c r="B31" s="14"/>
      <c r="C31" s="23"/>
      <c r="D31" s="23"/>
      <c r="E31" s="22">
        <f>IF(VLOOKUP(24,'[1]Raw Data - Tab 28 Curr Term'!$A$1:$J$100,3,FALSE)-SUM(K31,Q31,W31)=0,IF(SUM(K31,Q31,W31)-SUM(E32:F33)=0,SUM(K31,Q31,W31),"ERROR"),"ERROR")</f>
        <v>7622</v>
      </c>
      <c r="F31" s="22"/>
      <c r="G31" s="22"/>
      <c r="H31" s="22"/>
      <c r="I31" s="22"/>
      <c r="J31" s="22"/>
      <c r="K31" s="22">
        <f>IF(VLOOKUP(21,'[1]Raw Data - Tab 28 Curr Term'!$A$1:$J$100,3,FALSE)-SUM(K32:L33)=0,SUM(K32:L33),"ERROR")</f>
        <v>9</v>
      </c>
      <c r="L31" s="22"/>
      <c r="M31" s="22"/>
      <c r="N31" s="22"/>
      <c r="O31" s="22"/>
      <c r="P31" s="22"/>
      <c r="Q31" s="22">
        <f>IF(VLOOKUP(3,'[1]Raw Data - Tab 28 Curr Term'!$A$1:$J$100,3,FALSE)-SUM(Q32:R33)=0,SUM(Q32:R33),"ERROR")</f>
        <v>1910</v>
      </c>
      <c r="R31" s="22"/>
      <c r="S31" s="22"/>
      <c r="T31" s="22"/>
      <c r="U31" s="22"/>
      <c r="V31" s="22"/>
      <c r="W31" s="22">
        <f>IF(VLOOKUP(12,'[1]Raw Data - Tab 28 Curr Term'!$A$1:$J$100,3,FALSE)-SUM(W32:X33)=0,SUM(W32:X33),"ERROR")</f>
        <v>5703</v>
      </c>
      <c r="X31" s="22"/>
      <c r="Y31" s="23"/>
      <c r="Z31" s="23"/>
    </row>
    <row r="32" spans="1:26" ht="11.25" customHeight="1" x14ac:dyDescent="0.2">
      <c r="A32" s="14" t="s">
        <v>11</v>
      </c>
      <c r="B32" s="14"/>
      <c r="C32" s="23"/>
      <c r="D32" s="23"/>
      <c r="E32" s="22">
        <f>IF(((VLOOKUP(8,'[1]Raw Data - Tab 28 Curr Term'!$A$1:$J$100,3,FALSE)+VLOOKUP(17,'[1]Raw Data - Tab 28 Curr Term'!$A$1:$J$100,3,FALSE)+VLOOKUP(22,'[1]Raw Data - Tab 28 Curr Term'!$A$1:$J$100,3,FALSE))-(VLOOKUP(4,'[1]Raw Data - Tab 1 Next Term'!$A$1:$J$100,3,FALSE)+VLOOKUP(13,'[1]Raw Data - Tab 1 Next Term'!$A$1:$J$100,3,FALSE)))-SUM(K32,Q32,W32)=0,SUM(K32,Q32,W32),"ERROR")</f>
        <v>6541</v>
      </c>
      <c r="F32" s="22"/>
      <c r="G32" s="22"/>
      <c r="H32" s="22"/>
      <c r="I32" s="22"/>
      <c r="J32" s="22"/>
      <c r="K32" s="22">
        <f>VLOOKUP(22,'[1]Raw Data - Tab 28 Curr Term'!$A$1:$J$100,3,FALSE)</f>
        <v>2</v>
      </c>
      <c r="L32" s="22"/>
      <c r="M32" s="22"/>
      <c r="N32" s="22"/>
      <c r="O32" s="22"/>
      <c r="P32" s="22"/>
      <c r="Q32" s="22">
        <f>VLOOKUP(8,'[1]Raw Data - Tab 28 Curr Term'!$A$1:$J$100,3,FALSE)-VLOOKUP(4,'[1]Raw Data - Tab 1 Next Term'!$A$1:$J$100,3,FALSE)</f>
        <v>1595</v>
      </c>
      <c r="R32" s="22"/>
      <c r="S32" s="22"/>
      <c r="T32" s="22"/>
      <c r="U32" s="22"/>
      <c r="V32" s="22"/>
      <c r="W32" s="22">
        <f>VLOOKUP(17,'[1]Raw Data - Tab 28 Curr Term'!$A$1:$J$100,3,FALSE)-VLOOKUP(13,'[1]Raw Data - Tab 1 Next Term'!$A$1:$J$100,3,FALSE)</f>
        <v>4944</v>
      </c>
      <c r="X32" s="22"/>
      <c r="Y32" s="23"/>
      <c r="Z32" s="23"/>
    </row>
    <row r="33" spans="1:26" ht="11.25" customHeight="1" x14ac:dyDescent="0.2">
      <c r="A33" s="14" t="s">
        <v>10</v>
      </c>
      <c r="B33" s="14"/>
      <c r="C33" s="23"/>
      <c r="D33" s="23"/>
      <c r="E33" s="22">
        <f>IF((VLOOKUP(9,'[1]Raw Data - Tab 28 Curr Term'!$A$1:$J$100,3,FALSE)+VLOOKUP(18,'[1]Raw Data - Tab 28 Curr Term'!$A$1:$J$100,3,FALSE)+VLOOKUP(23,'[1]Raw Data - Tab 28 Curr Term'!$A$1:$J$100,3,FALSE)+VLOOKUP(4,'[1]Raw Data - Tab 1 Next Term'!$A$1:$J$100,3,FALSE)+VLOOKUP(13,'[1]Raw Data - Tab 1 Next Term'!$A$1:$J$100,3,FALSE))-SUM(K33,Q33,W33)=0,SUM(K33,Q33,W33),"ERROR")</f>
        <v>1081</v>
      </c>
      <c r="F33" s="22"/>
      <c r="G33" s="22"/>
      <c r="H33" s="22"/>
      <c r="I33" s="22"/>
      <c r="J33" s="22"/>
      <c r="K33" s="22">
        <f>VLOOKUP(23,'[1]Raw Data - Tab 28 Curr Term'!$A$1:$J$100,3,FALSE)</f>
        <v>7</v>
      </c>
      <c r="L33" s="22"/>
      <c r="M33" s="22"/>
      <c r="N33" s="22"/>
      <c r="O33" s="22"/>
      <c r="P33" s="22"/>
      <c r="Q33" s="22">
        <f>VLOOKUP(9,'[1]Raw Data - Tab 28 Curr Term'!$A$1:$J$100,3,FALSE)+VLOOKUP(4,'[1]Raw Data - Tab 1 Next Term'!$A$1:$J$100,3,FALSE)</f>
        <v>315</v>
      </c>
      <c r="R33" s="22"/>
      <c r="S33" s="22"/>
      <c r="T33" s="22"/>
      <c r="U33" s="22"/>
      <c r="V33" s="22"/>
      <c r="W33" s="22">
        <f>VLOOKUP(18,'[1]Raw Data - Tab 28 Curr Term'!$A$1:$J$100,3,FALSE)+VLOOKUP(13,'[1]Raw Data - Tab 1 Next Term'!$A$1:$J$100,3,FALSE)</f>
        <v>759</v>
      </c>
      <c r="X33" s="22"/>
      <c r="Y33" s="23"/>
      <c r="Z33" s="23"/>
    </row>
    <row r="34" spans="1:26" ht="11.25" customHeight="1" thickBot="1" x14ac:dyDescent="0.25">
      <c r="A34" s="14"/>
      <c r="B34" s="14"/>
      <c r="C34" s="23"/>
      <c r="D34" s="23"/>
      <c r="E34" s="22"/>
      <c r="F34" s="22"/>
      <c r="G34" s="23"/>
      <c r="H34" s="23"/>
      <c r="I34" s="23"/>
      <c r="J34" s="23"/>
      <c r="K34" s="22"/>
      <c r="L34" s="22"/>
      <c r="M34" s="23"/>
      <c r="N34" s="23"/>
      <c r="O34" s="23"/>
      <c r="P34" s="23"/>
      <c r="Q34" s="22"/>
      <c r="R34" s="22"/>
      <c r="S34" s="23"/>
      <c r="T34" s="23"/>
      <c r="U34" s="23"/>
      <c r="V34" s="23"/>
      <c r="W34" s="22"/>
      <c r="X34" s="22"/>
      <c r="Y34" s="23"/>
      <c r="Z34" s="23"/>
    </row>
    <row r="35" spans="1:26" ht="13.5" customHeight="1" x14ac:dyDescent="0.2">
      <c r="A35" s="17"/>
      <c r="B35" s="17"/>
      <c r="C35" s="17"/>
      <c r="D35" s="17"/>
      <c r="E35" s="17"/>
      <c r="F35" s="17"/>
      <c r="G35" s="15" t="s">
        <v>9</v>
      </c>
      <c r="H35" s="16"/>
      <c r="I35" s="16"/>
      <c r="J35" s="16"/>
      <c r="K35" s="16"/>
      <c r="L35" s="16"/>
      <c r="M35" s="16"/>
      <c r="N35" s="16"/>
      <c r="O35" s="16"/>
      <c r="P35" s="16"/>
      <c r="Q35" s="16"/>
      <c r="R35" s="16"/>
      <c r="S35" s="16"/>
      <c r="T35" s="16"/>
      <c r="U35" s="16"/>
      <c r="V35" s="16"/>
      <c r="W35" s="16"/>
      <c r="X35" s="16"/>
      <c r="Y35" s="16"/>
      <c r="Z35" s="16"/>
    </row>
    <row r="36" spans="1:26" ht="15" customHeight="1" x14ac:dyDescent="0.2">
      <c r="A36" s="9" t="s">
        <v>8</v>
      </c>
      <c r="B36" s="9"/>
      <c r="C36" s="9"/>
      <c r="D36" s="9"/>
      <c r="E36" s="9"/>
      <c r="F36" s="10"/>
      <c r="G36" s="7">
        <f>RIGHT('[1]Raw Data - Tab 28 Curr Term'!$A$1,4)-4</f>
        <v>2014</v>
      </c>
      <c r="H36" s="8"/>
      <c r="I36" s="8"/>
      <c r="J36" s="8"/>
      <c r="K36" s="7">
        <f>RIGHT('[1]Raw Data - Tab 28 Curr Term'!$A$1,4)-3</f>
        <v>2015</v>
      </c>
      <c r="L36" s="8"/>
      <c r="M36" s="8"/>
      <c r="N36" s="8"/>
      <c r="O36" s="7">
        <f>RIGHT('[1]Raw Data - Tab 28 Curr Term'!$A$1,4)-2</f>
        <v>2016</v>
      </c>
      <c r="P36" s="8"/>
      <c r="Q36" s="8"/>
      <c r="R36" s="8"/>
      <c r="S36" s="7">
        <f>RIGHT('[1]Raw Data - Tab 28 Curr Term'!$A$1,4)-1</f>
        <v>2017</v>
      </c>
      <c r="T36" s="8"/>
      <c r="U36" s="8"/>
      <c r="V36" s="8"/>
      <c r="W36" s="7" t="str">
        <f>RIGHT('[1]Raw Data - Tab 28 Curr Term'!$A$1,4)</f>
        <v>2018</v>
      </c>
      <c r="X36" s="8"/>
      <c r="Y36" s="8"/>
      <c r="Z36" s="8"/>
    </row>
    <row r="37" spans="1:26" ht="3.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1.25" customHeight="1" x14ac:dyDescent="0.2">
      <c r="A38" s="24"/>
      <c r="B38" s="24"/>
      <c r="C38" s="24"/>
      <c r="D38" s="24"/>
      <c r="E38" s="24"/>
      <c r="F38" s="24"/>
      <c r="H38" s="24"/>
      <c r="I38" s="24"/>
      <c r="L38" s="24"/>
      <c r="M38" s="24"/>
      <c r="P38" s="24"/>
      <c r="Q38" s="24"/>
      <c r="R38" s="3"/>
      <c r="S38" s="3"/>
      <c r="T38" s="24"/>
      <c r="U38" s="24"/>
      <c r="X38" s="24"/>
      <c r="Y38" s="24"/>
    </row>
    <row r="39" spans="1:26" ht="11.25" customHeight="1" x14ac:dyDescent="0.2">
      <c r="A39" s="14" t="s">
        <v>7</v>
      </c>
      <c r="B39" s="14"/>
      <c r="C39" s="14"/>
      <c r="D39" s="14"/>
      <c r="E39" s="14"/>
      <c r="F39" s="14"/>
      <c r="G39" s="3"/>
      <c r="H39" s="13">
        <f>'[1]Raw Data - Prior Year A-1'!L39</f>
        <v>75</v>
      </c>
      <c r="I39" s="13"/>
      <c r="J39" s="5"/>
      <c r="K39" s="5"/>
      <c r="L39" s="13">
        <f>'[1]Raw Data - Prior Year A-1'!P39</f>
        <v>82</v>
      </c>
      <c r="M39" s="13"/>
      <c r="N39" s="5"/>
      <c r="O39" s="5"/>
      <c r="P39" s="12">
        <f>IF(VLOOKUP(30,'[1]Raw Data - Tab 28 Curr Term'!$A$1:$J$100,7,FALSE)-SUM(P40:Q42)=0,SUM(P40:Q42),"ERROR")</f>
        <v>71</v>
      </c>
      <c r="Q39" s="12"/>
      <c r="R39" s="5"/>
      <c r="S39" s="5"/>
      <c r="T39" s="12">
        <f>IF(VLOOKUP(30,'[1]Raw Data - Tab 28 Curr Term'!$A$1:$J$100,5,FALSE)-SUM(T40:U42)=0,SUM(T40:U42),"ERROR")</f>
        <v>69</v>
      </c>
      <c r="U39" s="12"/>
      <c r="V39" s="5"/>
      <c r="W39" s="5"/>
      <c r="X39" s="12">
        <f>IF(VLOOKUP(30,'[1]Raw Data - Tab 28 Curr Term'!$A$1:$J$100,3,FALSE)-SUM(X40:Y42)=0,SUM(X40:Y42),"ERROR")</f>
        <v>73</v>
      </c>
      <c r="Y39" s="12"/>
    </row>
    <row r="40" spans="1:26" ht="11.25" customHeight="1" x14ac:dyDescent="0.2">
      <c r="A40" s="14" t="s">
        <v>6</v>
      </c>
      <c r="B40" s="14"/>
      <c r="C40" s="14"/>
      <c r="D40" s="14"/>
      <c r="E40" s="14"/>
      <c r="F40" s="14"/>
      <c r="G40" s="3"/>
      <c r="H40" s="13">
        <f>'[1]Raw Data - Prior Year A-1'!L40</f>
        <v>75</v>
      </c>
      <c r="I40" s="13"/>
      <c r="J40" s="5"/>
      <c r="K40" s="5"/>
      <c r="L40" s="13">
        <f>'[1]Raw Data - Prior Year A-1'!P40</f>
        <v>70</v>
      </c>
      <c r="M40" s="13"/>
      <c r="N40" s="5"/>
      <c r="O40" s="5"/>
      <c r="P40" s="12">
        <f>VLOOKUP(36,'[1]Raw Data - Tab 28 Curr Term'!$A$1:$J$100,7,FALSE)</f>
        <v>68</v>
      </c>
      <c r="Q40" s="12"/>
      <c r="R40" s="5"/>
      <c r="S40" s="5"/>
      <c r="T40" s="12">
        <f>VLOOKUP(36,'[1]Raw Data - Tab 28 Curr Term'!$A$1:$J$100,5,FALSE)</f>
        <v>63</v>
      </c>
      <c r="U40" s="12"/>
      <c r="V40" s="5"/>
      <c r="W40" s="5"/>
      <c r="X40" s="12">
        <f>VLOOKUP(36,'[1]Raw Data - Tab 28 Curr Term'!$A$1:$J$100,3,FALSE)</f>
        <v>69</v>
      </c>
      <c r="Y40" s="12"/>
    </row>
    <row r="41" spans="1:26" ht="11.25" customHeight="1" x14ac:dyDescent="0.2">
      <c r="A41" s="14" t="s">
        <v>5</v>
      </c>
      <c r="B41" s="14"/>
      <c r="C41" s="14"/>
      <c r="D41" s="14"/>
      <c r="E41" s="14"/>
      <c r="F41" s="14"/>
      <c r="G41" s="3"/>
      <c r="H41" s="32">
        <f>'[1]Raw Data - Prior Year A-1'!L41</f>
        <v>0</v>
      </c>
      <c r="I41" s="32"/>
      <c r="J41" s="5"/>
      <c r="K41" s="5"/>
      <c r="L41" s="13">
        <f>'[1]Raw Data - Prior Year A-1'!P41</f>
        <v>12</v>
      </c>
      <c r="M41" s="13"/>
      <c r="N41" s="5"/>
      <c r="O41" s="5"/>
      <c r="P41" s="12">
        <f>VLOOKUP(37,'[1]Raw Data - Tab 28 Curr Term'!$A$1:$J$100,7,FALSE)</f>
        <v>1</v>
      </c>
      <c r="Q41" s="12"/>
      <c r="R41" s="5"/>
      <c r="S41" s="5"/>
      <c r="T41" s="12">
        <f>VLOOKUP(37,'[1]Raw Data - Tab 28 Curr Term'!$A$1:$J$100,5,FALSE)</f>
        <v>6</v>
      </c>
      <c r="U41" s="12"/>
      <c r="V41" s="5"/>
      <c r="W41" s="5"/>
      <c r="X41" s="12">
        <f>VLOOKUP(37,'[1]Raw Data - Tab 28 Curr Term'!$A$1:$J$100,3,FALSE)</f>
        <v>2</v>
      </c>
      <c r="Y41" s="12"/>
    </row>
    <row r="42" spans="1:26" ht="11.25" customHeight="1" x14ac:dyDescent="0.2">
      <c r="A42" s="14" t="s">
        <v>4</v>
      </c>
      <c r="B42" s="14"/>
      <c r="C42" s="14"/>
      <c r="D42" s="14"/>
      <c r="E42" s="14"/>
      <c r="F42" s="14"/>
      <c r="G42" s="3"/>
      <c r="H42" s="13">
        <f>'[1]Raw Data - Prior Year A-1'!L42</f>
        <v>1</v>
      </c>
      <c r="I42" s="13"/>
      <c r="J42" s="5"/>
      <c r="K42" s="5"/>
      <c r="L42" s="32">
        <f>'[1]Raw Data - Prior Year A-1'!P42</f>
        <v>0</v>
      </c>
      <c r="M42" s="32"/>
      <c r="N42" s="5"/>
      <c r="O42" s="5"/>
      <c r="P42" s="12">
        <f>VLOOKUP(38,'[1]Raw Data - Tab 28 Curr Term'!$A$1:$J$100,7,FALSE)</f>
        <v>2</v>
      </c>
      <c r="Q42" s="12"/>
      <c r="R42" s="5"/>
      <c r="S42" s="5"/>
      <c r="T42" s="33">
        <f>VLOOKUP(38,'[1]Raw Data - Tab 28 Curr Term'!$A$1:$J$100,5,FALSE)</f>
        <v>0</v>
      </c>
      <c r="U42" s="33"/>
      <c r="V42" s="5"/>
      <c r="W42" s="5"/>
      <c r="X42" s="12">
        <f>VLOOKUP(38,'[1]Raw Data - Tab 28 Curr Term'!$A$1:$J$100,3,FALSE)</f>
        <v>2</v>
      </c>
      <c r="Y42" s="12"/>
    </row>
    <row r="43" spans="1:26" ht="11.25" customHeight="1" x14ac:dyDescent="0.2">
      <c r="A43" s="14" t="s">
        <v>3</v>
      </c>
      <c r="B43" s="14"/>
      <c r="C43" s="14"/>
      <c r="D43" s="14"/>
      <c r="E43" s="14"/>
      <c r="F43" s="14"/>
      <c r="G43" s="3"/>
      <c r="H43" s="13">
        <f>'[1]Raw Data - Prior Year A-1'!L43</f>
        <v>71</v>
      </c>
      <c r="I43" s="13"/>
      <c r="J43" s="5"/>
      <c r="K43" s="5"/>
      <c r="L43" s="13">
        <f>'[1]Raw Data - Prior Year A-1'!P43</f>
        <v>81</v>
      </c>
      <c r="M43" s="13"/>
      <c r="N43" s="5"/>
      <c r="O43" s="5"/>
      <c r="P43" s="12">
        <f>VLOOKUP(26,'[1]Raw Data - Tab 28 Curr Term'!$A$1:$J$100,7,FALSE)</f>
        <v>75</v>
      </c>
      <c r="Q43" s="12"/>
      <c r="R43" s="5"/>
      <c r="S43" s="5"/>
      <c r="T43" s="12">
        <f>VLOOKUP(26,'[1]Raw Data - Tab 28 Curr Term'!$A$1:$J$100,5,FALSE)</f>
        <v>78</v>
      </c>
      <c r="U43" s="12"/>
      <c r="V43" s="5"/>
      <c r="W43" s="5"/>
      <c r="X43" s="12">
        <f>VLOOKUP(26,'[1]Raw Data - Tab 28 Curr Term'!$A$1:$J$100,3,FALSE)</f>
        <v>86</v>
      </c>
      <c r="Y43" s="12"/>
    </row>
    <row r="44" spans="1:26" ht="11.25" customHeight="1" x14ac:dyDescent="0.2">
      <c r="A44" s="14" t="s">
        <v>2</v>
      </c>
      <c r="B44" s="14"/>
      <c r="C44" s="14"/>
      <c r="D44" s="14"/>
      <c r="E44" s="14"/>
      <c r="F44" s="14"/>
      <c r="G44" s="3"/>
      <c r="H44" s="13">
        <f>'[1]Raw Data - Prior Year A-1'!L44</f>
        <v>109</v>
      </c>
      <c r="I44" s="13"/>
      <c r="J44" s="5"/>
      <c r="K44" s="5"/>
      <c r="L44" s="13">
        <f>'[1]Raw Data - Prior Year A-1'!P44</f>
        <v>145</v>
      </c>
      <c r="M44" s="13"/>
      <c r="N44" s="5"/>
      <c r="O44" s="5"/>
      <c r="P44" s="12">
        <f>VLOOKUP(6,'[1]Raw Data - Tab 28 Curr Term'!$A$1:$J$100,7,FALSE)+VLOOKUP(15,'[1]Raw Data - Tab 28 Curr Term'!$A$1:$J$100,7,FALSE)</f>
        <v>66</v>
      </c>
      <c r="Q44" s="12"/>
      <c r="R44" s="5"/>
      <c r="S44" s="5"/>
      <c r="T44" s="12">
        <f>VLOOKUP(6,'[1]Raw Data - Tab 28 Curr Term'!$A$1:$J$100,5,FALSE)+VLOOKUP(15,'[1]Raw Data - Tab 28 Curr Term'!$A$1:$J$100,5,FALSE)</f>
        <v>103</v>
      </c>
      <c r="U44" s="12"/>
      <c r="V44" s="5"/>
      <c r="W44" s="5"/>
      <c r="X44" s="12">
        <f>VLOOKUP(6,'[1]Raw Data - Tab 28 Curr Term'!$A$1:$J$100,3,FALSE)+VLOOKUP(15,'[1]Raw Data - Tab 28 Curr Term'!$A$1:$J$100,3,FALSE)</f>
        <v>56</v>
      </c>
      <c r="Y44" s="12"/>
    </row>
    <row r="45" spans="1:26" ht="11.25" customHeight="1" x14ac:dyDescent="0.2">
      <c r="A45" s="14" t="s">
        <v>1</v>
      </c>
      <c r="B45" s="14"/>
      <c r="C45" s="14"/>
      <c r="D45" s="14"/>
      <c r="E45" s="14"/>
      <c r="F45" s="14"/>
      <c r="G45" s="3"/>
      <c r="H45" s="13">
        <f>'[1]Raw Data - Prior Year A-1'!L45</f>
        <v>33</v>
      </c>
      <c r="I45" s="13"/>
      <c r="J45" s="5"/>
      <c r="K45" s="5"/>
      <c r="L45" s="13">
        <f>'[1]Raw Data - Prior Year A-1'!P45</f>
        <v>31</v>
      </c>
      <c r="M45" s="13"/>
      <c r="N45" s="5"/>
      <c r="O45" s="5"/>
      <c r="P45" s="12">
        <f>VLOOKUP("to be argued next Term………………………",'[1]Raw Data - Tab 28 Curr Term'!$B$1:$J$100,6,FALSE)</f>
        <v>32</v>
      </c>
      <c r="Q45" s="12"/>
      <c r="R45" s="5"/>
      <c r="S45" s="5"/>
      <c r="T45" s="12">
        <f>VLOOKUP("to be argued next Term………………………",'[1]Raw Data - Tab 28 Curr Term'!$B$1:$J$100,4,FALSE)</f>
        <v>38</v>
      </c>
      <c r="U45" s="12"/>
      <c r="V45" s="5"/>
      <c r="W45" s="5"/>
      <c r="X45" s="12">
        <f>VLOOKUP("to be argued next Term………………………",'[1]Raw Data - Tab 28 Curr Term'!$B$1:$J$100,2,FALSE)</f>
        <v>50</v>
      </c>
      <c r="Y45" s="12"/>
    </row>
    <row r="46" spans="1:26" ht="11.25" customHeight="1" x14ac:dyDescent="0.2">
      <c r="A46" s="26"/>
      <c r="B46" s="26"/>
      <c r="C46" s="26"/>
      <c r="D46" s="26"/>
      <c r="E46" s="26"/>
      <c r="F46" s="26"/>
      <c r="G46" s="2"/>
      <c r="H46" s="25"/>
      <c r="I46" s="25"/>
      <c r="J46" s="2"/>
      <c r="K46" s="2"/>
      <c r="L46" s="25"/>
      <c r="M46" s="25"/>
      <c r="N46" s="2"/>
      <c r="O46" s="2"/>
      <c r="P46" s="25"/>
      <c r="Q46" s="25"/>
      <c r="R46" s="2"/>
      <c r="S46" s="2"/>
      <c r="T46" s="25"/>
      <c r="U46" s="25"/>
      <c r="V46" s="2"/>
      <c r="W46" s="2"/>
      <c r="X46" s="25"/>
      <c r="Y46" s="25"/>
      <c r="Z46" s="2"/>
    </row>
    <row r="47" spans="1:26" ht="36" customHeight="1" x14ac:dyDescent="0.2">
      <c r="A47" s="6" t="s">
        <v>0</v>
      </c>
      <c r="B47" s="6"/>
      <c r="C47" s="6"/>
      <c r="D47" s="6"/>
      <c r="E47" s="6"/>
      <c r="F47" s="6"/>
      <c r="G47" s="6"/>
      <c r="H47" s="6"/>
      <c r="I47" s="6"/>
      <c r="J47" s="6"/>
      <c r="K47" s="6"/>
      <c r="L47" s="6"/>
      <c r="M47" s="6"/>
      <c r="N47" s="6"/>
      <c r="O47" s="6"/>
      <c r="P47" s="6"/>
      <c r="Q47" s="6"/>
      <c r="R47" s="6"/>
      <c r="S47" s="6"/>
      <c r="T47" s="6"/>
      <c r="U47" s="6"/>
      <c r="V47" s="6"/>
      <c r="W47" s="6"/>
      <c r="X47" s="6"/>
      <c r="Y47" s="6"/>
      <c r="Z47" s="6"/>
    </row>
    <row r="48" spans="1:26" ht="11.25" customHeight="1" x14ac:dyDescent="0.2"/>
    <row r="49" ht="11.25" customHeight="1" x14ac:dyDescent="0.2"/>
    <row r="50" ht="13.5" customHeight="1" x14ac:dyDescent="0.2"/>
  </sheetData>
  <mergeCells count="415">
    <mergeCell ref="A8:B8"/>
    <mergeCell ref="C8:H8"/>
    <mergeCell ref="I8:N8"/>
    <mergeCell ref="O8:T8"/>
    <mergeCell ref="U8:Z8"/>
    <mergeCell ref="A14:B14"/>
    <mergeCell ref="S9:T9"/>
    <mergeCell ref="U9:V9"/>
    <mergeCell ref="W9:X9"/>
    <mergeCell ref="M9:N9"/>
    <mergeCell ref="Y9:Z9"/>
    <mergeCell ref="A38:F38"/>
    <mergeCell ref="A39:F39"/>
    <mergeCell ref="A40:F40"/>
    <mergeCell ref="A2:Z2"/>
    <mergeCell ref="A3:Z3"/>
    <mergeCell ref="A4:Z4"/>
    <mergeCell ref="A6:B7"/>
    <mergeCell ref="H38:I38"/>
    <mergeCell ref="L38:M38"/>
    <mergeCell ref="P38:Q38"/>
    <mergeCell ref="A29:B29"/>
    <mergeCell ref="A24:B24"/>
    <mergeCell ref="A19:B19"/>
    <mergeCell ref="E30:F30"/>
    <mergeCell ref="E29:F29"/>
    <mergeCell ref="E25:F25"/>
    <mergeCell ref="E24:F24"/>
    <mergeCell ref="E20:F20"/>
    <mergeCell ref="E19:F19"/>
    <mergeCell ref="U10:V10"/>
    <mergeCell ref="W10:X10"/>
    <mergeCell ref="U15:V15"/>
    <mergeCell ref="O9:P9"/>
    <mergeCell ref="Q9:R9"/>
    <mergeCell ref="H46:I46"/>
    <mergeCell ref="E14:F14"/>
    <mergeCell ref="K14:L14"/>
    <mergeCell ref="K15:L15"/>
    <mergeCell ref="K19:L19"/>
    <mergeCell ref="K20:L20"/>
    <mergeCell ref="K24:L24"/>
    <mergeCell ref="A44:F44"/>
    <mergeCell ref="A45:F45"/>
    <mergeCell ref="A46:F46"/>
    <mergeCell ref="A34:B34"/>
    <mergeCell ref="C34:D34"/>
    <mergeCell ref="E34:F34"/>
    <mergeCell ref="G34:H34"/>
    <mergeCell ref="I34:J34"/>
    <mergeCell ref="I21:J21"/>
    <mergeCell ref="I23:J23"/>
    <mergeCell ref="K23:L23"/>
    <mergeCell ref="I20:J20"/>
    <mergeCell ref="I22:J22"/>
    <mergeCell ref="I18:J18"/>
    <mergeCell ref="I19:J19"/>
    <mergeCell ref="I17:J17"/>
    <mergeCell ref="C22:D22"/>
    <mergeCell ref="U21:V21"/>
    <mergeCell ref="W21:X21"/>
    <mergeCell ref="O33:P33"/>
    <mergeCell ref="Q33:R33"/>
    <mergeCell ref="S33:T33"/>
    <mergeCell ref="K34:L34"/>
    <mergeCell ref="W29:X29"/>
    <mergeCell ref="W30:X30"/>
    <mergeCell ref="U26:V26"/>
    <mergeCell ref="W26:X26"/>
    <mergeCell ref="U29:V29"/>
    <mergeCell ref="U30:V30"/>
    <mergeCell ref="W34:X34"/>
    <mergeCell ref="U31:V31"/>
    <mergeCell ref="W31:X31"/>
    <mergeCell ref="M34:N34"/>
    <mergeCell ref="O34:P34"/>
    <mergeCell ref="Q34:R34"/>
    <mergeCell ref="S34:T34"/>
    <mergeCell ref="U34:V34"/>
    <mergeCell ref="U32:V32"/>
    <mergeCell ref="W32:X32"/>
    <mergeCell ref="U28:V28"/>
    <mergeCell ref="W28:X28"/>
    <mergeCell ref="U27:V27"/>
    <mergeCell ref="W27:X27"/>
    <mergeCell ref="Y27:Z27"/>
    <mergeCell ref="U23:V23"/>
    <mergeCell ref="W23:X23"/>
    <mergeCell ref="X46:Y46"/>
    <mergeCell ref="T46:U46"/>
    <mergeCell ref="P46:Q46"/>
    <mergeCell ref="L46:M46"/>
    <mergeCell ref="T38:U38"/>
    <mergeCell ref="X38:Y38"/>
    <mergeCell ref="Y34:Z34"/>
    <mergeCell ref="Y29:Z29"/>
    <mergeCell ref="Y30:Z30"/>
    <mergeCell ref="Y31:Z31"/>
    <mergeCell ref="Y32:Z32"/>
    <mergeCell ref="Y28:Z28"/>
    <mergeCell ref="W18:X18"/>
    <mergeCell ref="Y18:Z18"/>
    <mergeCell ref="U19:V19"/>
    <mergeCell ref="Y19:Z19"/>
    <mergeCell ref="U20:V20"/>
    <mergeCell ref="U33:V33"/>
    <mergeCell ref="W33:X33"/>
    <mergeCell ref="Y33:Z33"/>
    <mergeCell ref="A9:B9"/>
    <mergeCell ref="C9:D9"/>
    <mergeCell ref="E9:F9"/>
    <mergeCell ref="G9:H9"/>
    <mergeCell ref="I9:J9"/>
    <mergeCell ref="K9:L9"/>
    <mergeCell ref="U24:V24"/>
    <mergeCell ref="Y24:Z24"/>
    <mergeCell ref="U25:V25"/>
    <mergeCell ref="Y25:Z25"/>
    <mergeCell ref="W24:X24"/>
    <mergeCell ref="W25:X25"/>
    <mergeCell ref="Y20:Z20"/>
    <mergeCell ref="W19:X19"/>
    <mergeCell ref="W20:X20"/>
    <mergeCell ref="Y26:Z26"/>
    <mergeCell ref="U13:V13"/>
    <mergeCell ref="W13:X13"/>
    <mergeCell ref="Y13:Z13"/>
    <mergeCell ref="U14:V14"/>
    <mergeCell ref="Y14:Z14"/>
    <mergeCell ref="W14:X14"/>
    <mergeCell ref="O26:P26"/>
    <mergeCell ref="Q26:R26"/>
    <mergeCell ref="S26:T26"/>
    <mergeCell ref="O15:P15"/>
    <mergeCell ref="S15:T15"/>
    <mergeCell ref="O16:P16"/>
    <mergeCell ref="Q16:R16"/>
    <mergeCell ref="S16:T16"/>
    <mergeCell ref="O17:P17"/>
    <mergeCell ref="Q17:R17"/>
    <mergeCell ref="S17:T17"/>
    <mergeCell ref="Q15:R15"/>
    <mergeCell ref="Y23:Z23"/>
    <mergeCell ref="Y21:Z21"/>
    <mergeCell ref="U22:V22"/>
    <mergeCell ref="W22:X22"/>
    <mergeCell ref="Y22:Z22"/>
    <mergeCell ref="U18:V18"/>
    <mergeCell ref="O27:P27"/>
    <mergeCell ref="Y15:Z15"/>
    <mergeCell ref="U16:V16"/>
    <mergeCell ref="W16:X16"/>
    <mergeCell ref="Y16:Z16"/>
    <mergeCell ref="U17:V17"/>
    <mergeCell ref="W17:X17"/>
    <mergeCell ref="O28:P28"/>
    <mergeCell ref="Q28:R28"/>
    <mergeCell ref="S28:T28"/>
    <mergeCell ref="Q18:R18"/>
    <mergeCell ref="S18:T18"/>
    <mergeCell ref="O19:P19"/>
    <mergeCell ref="S19:T19"/>
    <mergeCell ref="O20:P20"/>
    <mergeCell ref="S20:T20"/>
    <mergeCell ref="Q20:R20"/>
    <mergeCell ref="Q19:R19"/>
    <mergeCell ref="O21:P21"/>
    <mergeCell ref="Q21:R21"/>
    <mergeCell ref="S21:T21"/>
    <mergeCell ref="O22:P22"/>
    <mergeCell ref="Q22:R22"/>
    <mergeCell ref="S22:T22"/>
    <mergeCell ref="O29:P29"/>
    <mergeCell ref="S29:T29"/>
    <mergeCell ref="O30:P30"/>
    <mergeCell ref="S30:T30"/>
    <mergeCell ref="Q30:R30"/>
    <mergeCell ref="Q29:R29"/>
    <mergeCell ref="O31:P31"/>
    <mergeCell ref="Q31:R31"/>
    <mergeCell ref="S31:T31"/>
    <mergeCell ref="O32:P32"/>
    <mergeCell ref="Q32:R32"/>
    <mergeCell ref="S32:T32"/>
    <mergeCell ref="Q24:R24"/>
    <mergeCell ref="Y10:Z10"/>
    <mergeCell ref="U11:V11"/>
    <mergeCell ref="W11:X11"/>
    <mergeCell ref="Y11:Z11"/>
    <mergeCell ref="U12:V12"/>
    <mergeCell ref="Y17:Z17"/>
    <mergeCell ref="W15:X15"/>
    <mergeCell ref="W12:X12"/>
    <mergeCell ref="Y12:Z12"/>
    <mergeCell ref="Q27:R27"/>
    <mergeCell ref="S27:T27"/>
    <mergeCell ref="O23:P23"/>
    <mergeCell ref="Q23:R23"/>
    <mergeCell ref="S23:T23"/>
    <mergeCell ref="O24:P24"/>
    <mergeCell ref="S24:T24"/>
    <mergeCell ref="O25:P25"/>
    <mergeCell ref="S25:T25"/>
    <mergeCell ref="Q25:R25"/>
    <mergeCell ref="O18:P18"/>
    <mergeCell ref="K22:L22"/>
    <mergeCell ref="M22:N22"/>
    <mergeCell ref="M23:N23"/>
    <mergeCell ref="I24:J24"/>
    <mergeCell ref="M24:N24"/>
    <mergeCell ref="I25:J25"/>
    <mergeCell ref="M25:N25"/>
    <mergeCell ref="K25:L25"/>
    <mergeCell ref="I33:J33"/>
    <mergeCell ref="K33:L33"/>
    <mergeCell ref="M33:N33"/>
    <mergeCell ref="I32:J32"/>
    <mergeCell ref="K32:L32"/>
    <mergeCell ref="M32:N32"/>
    <mergeCell ref="I26:J26"/>
    <mergeCell ref="I27:J27"/>
    <mergeCell ref="I31:J31"/>
    <mergeCell ref="K31:L31"/>
    <mergeCell ref="M31:N31"/>
    <mergeCell ref="I28:J28"/>
    <mergeCell ref="I29:J29"/>
    <mergeCell ref="I30:J30"/>
    <mergeCell ref="O10:P10"/>
    <mergeCell ref="Q10:R10"/>
    <mergeCell ref="S10:T10"/>
    <mergeCell ref="O11:P11"/>
    <mergeCell ref="Q11:R11"/>
    <mergeCell ref="S11:T11"/>
    <mergeCell ref="O12:P12"/>
    <mergeCell ref="Q12:R12"/>
    <mergeCell ref="K21:L21"/>
    <mergeCell ref="M21:N21"/>
    <mergeCell ref="K18:L18"/>
    <mergeCell ref="M18:N18"/>
    <mergeCell ref="M19:N19"/>
    <mergeCell ref="K17:L17"/>
    <mergeCell ref="M17:N17"/>
    <mergeCell ref="S12:T12"/>
    <mergeCell ref="O13:P13"/>
    <mergeCell ref="Q13:R13"/>
    <mergeCell ref="S13:T13"/>
    <mergeCell ref="O14:P14"/>
    <mergeCell ref="S14:T14"/>
    <mergeCell ref="Q14:R14"/>
    <mergeCell ref="M20:N20"/>
    <mergeCell ref="I12:J12"/>
    <mergeCell ref="K12:L12"/>
    <mergeCell ref="M12:N12"/>
    <mergeCell ref="G28:H28"/>
    <mergeCell ref="G29:H29"/>
    <mergeCell ref="G30:H30"/>
    <mergeCell ref="G21:H21"/>
    <mergeCell ref="G22:H22"/>
    <mergeCell ref="G23:H23"/>
    <mergeCell ref="G24:H24"/>
    <mergeCell ref="I13:J13"/>
    <mergeCell ref="K13:L13"/>
    <mergeCell ref="M13:N13"/>
    <mergeCell ref="I14:J14"/>
    <mergeCell ref="M14:N14"/>
    <mergeCell ref="I15:J15"/>
    <mergeCell ref="M15:N15"/>
    <mergeCell ref="I16:J16"/>
    <mergeCell ref="K16:L16"/>
    <mergeCell ref="M16:N16"/>
    <mergeCell ref="K29:L29"/>
    <mergeCell ref="K30:L30"/>
    <mergeCell ref="K26:L26"/>
    <mergeCell ref="M26:N26"/>
    <mergeCell ref="I10:J10"/>
    <mergeCell ref="K10:L10"/>
    <mergeCell ref="M10:N10"/>
    <mergeCell ref="I11:J11"/>
    <mergeCell ref="K11:L11"/>
    <mergeCell ref="M11:N11"/>
    <mergeCell ref="C19:D19"/>
    <mergeCell ref="C20:D20"/>
    <mergeCell ref="C21:D21"/>
    <mergeCell ref="C10:D10"/>
    <mergeCell ref="E10:F10"/>
    <mergeCell ref="G10:H10"/>
    <mergeCell ref="G11:H11"/>
    <mergeCell ref="G12:H12"/>
    <mergeCell ref="G13:H13"/>
    <mergeCell ref="G14:H14"/>
    <mergeCell ref="G17:H17"/>
    <mergeCell ref="G18:H18"/>
    <mergeCell ref="G15:H15"/>
    <mergeCell ref="G16:H16"/>
    <mergeCell ref="G19:H19"/>
    <mergeCell ref="G20:H20"/>
    <mergeCell ref="E18:F18"/>
    <mergeCell ref="E21:F21"/>
    <mergeCell ref="X40:Y40"/>
    <mergeCell ref="X39:Y39"/>
    <mergeCell ref="C18:D18"/>
    <mergeCell ref="G33:H33"/>
    <mergeCell ref="G27:H27"/>
    <mergeCell ref="G31:H31"/>
    <mergeCell ref="G32:H32"/>
    <mergeCell ref="G25:H25"/>
    <mergeCell ref="G26:H26"/>
    <mergeCell ref="C25:D25"/>
    <mergeCell ref="C26:D26"/>
    <mergeCell ref="C27:D27"/>
    <mergeCell ref="C28:D28"/>
    <mergeCell ref="C29:D29"/>
    <mergeCell ref="C30:D30"/>
    <mergeCell ref="C31:D31"/>
    <mergeCell ref="C32:D32"/>
    <mergeCell ref="C33:D33"/>
    <mergeCell ref="K27:L27"/>
    <mergeCell ref="M27:N27"/>
    <mergeCell ref="K28:L28"/>
    <mergeCell ref="M28:N28"/>
    <mergeCell ref="M29:N29"/>
    <mergeCell ref="M30:N30"/>
    <mergeCell ref="E26:F26"/>
    <mergeCell ref="E27:F27"/>
    <mergeCell ref="E28:F28"/>
    <mergeCell ref="E22:F22"/>
    <mergeCell ref="C11:D11"/>
    <mergeCell ref="C12:D12"/>
    <mergeCell ref="C13:D13"/>
    <mergeCell ref="C14:D14"/>
    <mergeCell ref="C15:D15"/>
    <mergeCell ref="C16:D16"/>
    <mergeCell ref="C17:D17"/>
    <mergeCell ref="E15:F15"/>
    <mergeCell ref="A26:B26"/>
    <mergeCell ref="A27:B27"/>
    <mergeCell ref="A28:B28"/>
    <mergeCell ref="X41:Y41"/>
    <mergeCell ref="X42:Y42"/>
    <mergeCell ref="X43:Y43"/>
    <mergeCell ref="X44:Y44"/>
    <mergeCell ref="P45:Q45"/>
    <mergeCell ref="U6:Z7"/>
    <mergeCell ref="O6:T7"/>
    <mergeCell ref="I6:N7"/>
    <mergeCell ref="C6:H7"/>
    <mergeCell ref="E11:F11"/>
    <mergeCell ref="E23:F23"/>
    <mergeCell ref="E12:F12"/>
    <mergeCell ref="E13:F13"/>
    <mergeCell ref="E16:F16"/>
    <mergeCell ref="E17:F17"/>
    <mergeCell ref="C23:D23"/>
    <mergeCell ref="C24:D24"/>
    <mergeCell ref="E31:F31"/>
    <mergeCell ref="E32:F32"/>
    <mergeCell ref="E33:F33"/>
    <mergeCell ref="X45:Y45"/>
    <mergeCell ref="A11:B11"/>
    <mergeCell ref="A12:B12"/>
    <mergeCell ref="A13:B13"/>
    <mergeCell ref="A16:B16"/>
    <mergeCell ref="A17:B17"/>
    <mergeCell ref="A18:B18"/>
    <mergeCell ref="H41:I41"/>
    <mergeCell ref="H42:I42"/>
    <mergeCell ref="H43:I43"/>
    <mergeCell ref="G35:Z35"/>
    <mergeCell ref="A35:F35"/>
    <mergeCell ref="A41:F41"/>
    <mergeCell ref="A42:F42"/>
    <mergeCell ref="A43:F43"/>
    <mergeCell ref="A37:F37"/>
    <mergeCell ref="G37:J37"/>
    <mergeCell ref="K37:N37"/>
    <mergeCell ref="O37:R37"/>
    <mergeCell ref="A31:B31"/>
    <mergeCell ref="A32:B32"/>
    <mergeCell ref="A33:B33"/>
    <mergeCell ref="A21:B21"/>
    <mergeCell ref="A22:B22"/>
    <mergeCell ref="A23:B23"/>
    <mergeCell ref="T43:U43"/>
    <mergeCell ref="T45:U45"/>
    <mergeCell ref="P39:Q39"/>
    <mergeCell ref="P40:Q40"/>
    <mergeCell ref="P41:Q41"/>
    <mergeCell ref="P42:Q42"/>
    <mergeCell ref="P43:Q43"/>
    <mergeCell ref="P44:Q44"/>
    <mergeCell ref="T44:U44"/>
    <mergeCell ref="A47:Z47"/>
    <mergeCell ref="W36:Z36"/>
    <mergeCell ref="S36:V36"/>
    <mergeCell ref="O36:R36"/>
    <mergeCell ref="K36:N36"/>
    <mergeCell ref="G36:J36"/>
    <mergeCell ref="A36:F36"/>
    <mergeCell ref="S37:V37"/>
    <mergeCell ref="W37:Z37"/>
    <mergeCell ref="T42:U42"/>
    <mergeCell ref="H44:I44"/>
    <mergeCell ref="T39:U39"/>
    <mergeCell ref="T40:U40"/>
    <mergeCell ref="T41:U41"/>
    <mergeCell ref="H45:I45"/>
    <mergeCell ref="L39:M39"/>
    <mergeCell ref="L40:M40"/>
    <mergeCell ref="L41:M41"/>
    <mergeCell ref="L42:M42"/>
    <mergeCell ref="L43:M43"/>
    <mergeCell ref="L44:M44"/>
    <mergeCell ref="L45:M45"/>
    <mergeCell ref="H39:I39"/>
    <mergeCell ref="H40:I40"/>
  </mergeCells>
  <conditionalFormatting sqref="K21:L21 Q21:R21 W21:X21 E21:F23 E26:F28 E31:F33 K31:L31 Q31:R31 W31:X31 P39:Q39 T39:U39 X39:Y39">
    <cfRule type="cellIs" dxfId="16" priority="17" operator="equal">
      <formula>"ERROR"</formula>
    </cfRule>
  </conditionalFormatting>
  <conditionalFormatting sqref="E16:F18 K16:L18 Q16:R18 W16:X18 K11:L13 Q11:R13 W11:X13">
    <cfRule type="containsBlanks" dxfId="15" priority="16">
      <formula>LEN(TRIM(E11))=0</formula>
    </cfRule>
  </conditionalFormatting>
  <conditionalFormatting sqref="L45:M45">
    <cfRule type="containsBlanks" dxfId="14" priority="1">
      <formula>LEN(TRIM(L45))=0</formula>
    </cfRule>
  </conditionalFormatting>
  <conditionalFormatting sqref="E11:F13">
    <cfRule type="containsBlanks" dxfId="13" priority="15">
      <formula>LEN(TRIM(E11))=0</formula>
    </cfRule>
  </conditionalFormatting>
  <conditionalFormatting sqref="H39:I39">
    <cfRule type="containsBlanks" dxfId="12" priority="14">
      <formula>LEN(TRIM(H39))=0</formula>
    </cfRule>
  </conditionalFormatting>
  <conditionalFormatting sqref="H40:I40">
    <cfRule type="containsBlanks" dxfId="11" priority="13">
      <formula>LEN(TRIM(H40))=0</formula>
    </cfRule>
  </conditionalFormatting>
  <conditionalFormatting sqref="H41:I41">
    <cfRule type="containsBlanks" dxfId="10" priority="12">
      <formula>LEN(TRIM(H41))=0</formula>
    </cfRule>
  </conditionalFormatting>
  <conditionalFormatting sqref="H42:I42">
    <cfRule type="containsBlanks" dxfId="9" priority="11">
      <formula>LEN(TRIM(H42))=0</formula>
    </cfRule>
  </conditionalFormatting>
  <conditionalFormatting sqref="H43:I43">
    <cfRule type="containsBlanks" dxfId="8" priority="10">
      <formula>LEN(TRIM(H43))=0</formula>
    </cfRule>
  </conditionalFormatting>
  <conditionalFormatting sqref="H44:I44">
    <cfRule type="containsBlanks" dxfId="7" priority="9">
      <formula>LEN(TRIM(H44))=0</formula>
    </cfRule>
  </conditionalFormatting>
  <conditionalFormatting sqref="H45:I45">
    <cfRule type="containsBlanks" dxfId="6" priority="8">
      <formula>LEN(TRIM(H45))=0</formula>
    </cfRule>
  </conditionalFormatting>
  <conditionalFormatting sqref="L39:M39">
    <cfRule type="containsBlanks" dxfId="5" priority="7">
      <formula>LEN(TRIM(L39))=0</formula>
    </cfRule>
  </conditionalFormatting>
  <conditionalFormatting sqref="L40:M40">
    <cfRule type="containsBlanks" dxfId="4" priority="6">
      <formula>LEN(TRIM(L40))=0</formula>
    </cfRule>
  </conditionalFormatting>
  <conditionalFormatting sqref="L41:M41">
    <cfRule type="containsBlanks" dxfId="3" priority="5">
      <formula>LEN(TRIM(L41))=0</formula>
    </cfRule>
  </conditionalFormatting>
  <conditionalFormatting sqref="L42">
    <cfRule type="containsBlanks" dxfId="2" priority="4">
      <formula>LEN(TRIM(L42))=0</formula>
    </cfRule>
  </conditionalFormatting>
  <conditionalFormatting sqref="L43:M43">
    <cfRule type="containsBlanks" dxfId="1" priority="3">
      <formula>LEN(TRIM(L43))=0</formula>
    </cfRule>
  </conditionalFormatting>
  <conditionalFormatting sqref="L44:M44">
    <cfRule type="containsBlanks" dxfId="0" priority="2">
      <formula>LEN(TRIM(L44))=0</formula>
    </cfRule>
  </conditionalFormatting>
  <printOptions horizontalCentered="1"/>
  <pageMargins left="0.25" right="0.25" top="0.75" bottom="0.75" header="0.3" footer="0.3"/>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cp:lastModifiedBy>
  <dcterms:created xsi:type="dcterms:W3CDTF">2020-01-02T20:00:48Z</dcterms:created>
  <dcterms:modified xsi:type="dcterms:W3CDTF">2020-01-13T14:55:27Z</dcterms:modified>
</cp:coreProperties>
</file>