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\ao-ocp\data\common\DPS\JDAO\Quarter Close Tables\Federal Circuit\March\Mar 2023\"/>
    </mc:Choice>
  </mc:AlternateContent>
  <xr:revisionPtr revIDLastSave="0" documentId="13_ncr:1_{ABE7277A-BC21-4316-A6EF-CDE90B152A46}" xr6:coauthVersionLast="47" xr6:coauthVersionMax="47" xr10:uidLastSave="{00000000-0000-0000-0000-000000000000}"/>
  <bookViews>
    <workbookView xWindow="22932" yWindow="-2328" windowWidth="30936" windowHeight="16896" xr2:uid="{77714832-C446-4300-8F42-064BF92396C3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O27" i="1"/>
  <c r="L27" i="1"/>
  <c r="I27" i="1"/>
  <c r="F27" i="1"/>
  <c r="C27" i="1"/>
  <c r="U27" i="1" s="1"/>
  <c r="R26" i="1"/>
  <c r="O26" i="1"/>
  <c r="L26" i="1"/>
  <c r="F26" i="1"/>
  <c r="C26" i="1"/>
  <c r="U25" i="1"/>
  <c r="R25" i="1"/>
  <c r="O25" i="1"/>
  <c r="L25" i="1"/>
  <c r="I25" i="1"/>
  <c r="F25" i="1"/>
  <c r="C25" i="1"/>
  <c r="R24" i="1"/>
  <c r="O24" i="1"/>
  <c r="I24" i="1" s="1"/>
  <c r="L24" i="1"/>
  <c r="F24" i="1"/>
  <c r="C24" i="1"/>
  <c r="R23" i="1"/>
  <c r="O23" i="1"/>
  <c r="L23" i="1"/>
  <c r="F23" i="1"/>
  <c r="C23" i="1"/>
  <c r="R22" i="1"/>
  <c r="O22" i="1"/>
  <c r="L22" i="1"/>
  <c r="I22" i="1"/>
  <c r="F22" i="1"/>
  <c r="C22" i="1"/>
  <c r="R21" i="1"/>
  <c r="O21" i="1"/>
  <c r="I21" i="1" s="1"/>
  <c r="L21" i="1"/>
  <c r="F21" i="1"/>
  <c r="C21" i="1"/>
  <c r="R20" i="1"/>
  <c r="O20" i="1"/>
  <c r="L20" i="1"/>
  <c r="I20" i="1"/>
  <c r="F20" i="1"/>
  <c r="C20" i="1"/>
  <c r="U20" i="1" s="1"/>
  <c r="R19" i="1"/>
  <c r="O19" i="1"/>
  <c r="L19" i="1"/>
  <c r="F19" i="1"/>
  <c r="C19" i="1"/>
  <c r="R18" i="1"/>
  <c r="O18" i="1"/>
  <c r="L18" i="1"/>
  <c r="F18" i="1"/>
  <c r="C18" i="1"/>
  <c r="R17" i="1"/>
  <c r="O17" i="1"/>
  <c r="L17" i="1"/>
  <c r="I17" i="1" s="1"/>
  <c r="U17" i="1" s="1"/>
  <c r="F17" i="1"/>
  <c r="C17" i="1"/>
  <c r="R16" i="1"/>
  <c r="O16" i="1"/>
  <c r="L16" i="1"/>
  <c r="F16" i="1"/>
  <c r="C16" i="1"/>
  <c r="R15" i="1"/>
  <c r="O15" i="1"/>
  <c r="L15" i="1"/>
  <c r="F15" i="1"/>
  <c r="C15" i="1"/>
  <c r="R14" i="1"/>
  <c r="O14" i="1"/>
  <c r="I14" i="1" s="1"/>
  <c r="L14" i="1"/>
  <c r="F14" i="1"/>
  <c r="C14" i="1"/>
  <c r="R13" i="1"/>
  <c r="O13" i="1"/>
  <c r="L13" i="1"/>
  <c r="I13" i="1" s="1"/>
  <c r="F13" i="1"/>
  <c r="C13" i="1"/>
  <c r="U12" i="1"/>
  <c r="R12" i="1"/>
  <c r="O12" i="1"/>
  <c r="L12" i="1"/>
  <c r="I12" i="1"/>
  <c r="F12" i="1"/>
  <c r="C12" i="1"/>
  <c r="R10" i="1"/>
  <c r="A4" i="1"/>
  <c r="U14" i="1" l="1"/>
  <c r="I15" i="1"/>
  <c r="U15" i="1" s="1"/>
  <c r="I18" i="1"/>
  <c r="U18" i="1" s="1"/>
  <c r="U21" i="1"/>
  <c r="O10" i="1"/>
  <c r="I16" i="1"/>
  <c r="U16" i="1" s="1"/>
  <c r="C10" i="1"/>
  <c r="U13" i="1"/>
  <c r="L10" i="1"/>
  <c r="U22" i="1"/>
  <c r="I23" i="1"/>
  <c r="U23" i="1" s="1"/>
  <c r="I19" i="1"/>
  <c r="U19" i="1" s="1"/>
  <c r="I26" i="1"/>
  <c r="U26" i="1" s="1"/>
  <c r="U24" i="1"/>
  <c r="F10" i="1"/>
  <c r="U10" i="1" l="1"/>
  <c r="I10" i="1"/>
</calcChain>
</file>

<file path=xl/sharedStrings.xml><?xml version="1.0" encoding="utf-8"?>
<sst xmlns="http://schemas.openxmlformats.org/spreadsheetml/2006/main" count="30" uniqueCount="30">
  <si>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</si>
  <si>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</si>
  <si>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</si>
  <si>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</si>
  <si>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</si>
  <si>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</si>
  <si>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</si>
  <si>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</si>
  <si>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</si>
  <si>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</si>
  <si>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</si>
  <si>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</si>
  <si>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Army Board for Correction of Military Records</t>
  </si>
  <si>
    <t>Board of Contract Appeals</t>
  </si>
  <si>
    <t>Board of Immigration Appeals</t>
  </si>
  <si>
    <t>U.S. Court of International Trade</t>
  </si>
  <si>
    <t>U.S. Court of Federal Claims</t>
  </si>
  <si>
    <t>U.S. Court of Appeals for Veterans Claims</t>
  </si>
  <si>
    <t>U.S. District Courts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</si>
  <si>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</si>
  <si>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</si>
  <si>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Environmental Protection Agency</t>
  </si>
  <si>
    <t>International Trade Commission</t>
  </si>
  <si>
    <t>Merit Systems Protection Board</t>
  </si>
  <si>
    <t>Office of Compliance</t>
  </si>
  <si>
    <t>Occupational Safety and Health Commission</t>
  </si>
  <si>
    <t>Patent and Trademark Office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</si>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</sst>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10F3805-6C78-4149-A2FD-BF0AD41FB8F6}"/>
            </a:ext>
          </a:extLst>
        </xdr:cNvPr>
        <xdr:cNvCxnSpPr/>
      </xdr:nvCxnSpPr>
      <xdr:spPr>
        <a:xfrm>
          <a:off x="28574" y="47625"/>
          <a:ext cx="852106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Gibson\Documents\W8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March 31, 2023</v>
          </cell>
        </row>
        <row r="7">
          <cell r="A7" t="str">
            <v>Source of Appeals</v>
          </cell>
          <cell r="B7">
            <v>44652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45016</v>
          </cell>
        </row>
        <row r="8">
          <cell r="A8" t="str">
            <v>Total</v>
          </cell>
          <cell r="B8">
            <v>1394</v>
          </cell>
          <cell r="C8">
            <v>1482</v>
          </cell>
          <cell r="D8">
            <v>1362</v>
          </cell>
          <cell r="E8">
            <v>1082</v>
          </cell>
          <cell r="F8">
            <v>280</v>
          </cell>
          <cell r="G8">
            <v>34</v>
          </cell>
          <cell r="H8">
            <v>1514</v>
          </cell>
        </row>
        <row r="9">
          <cell r="A9" t="str">
            <v>Army Board for Correction of Military Records</v>
          </cell>
          <cell r="B9">
            <v>1</v>
          </cell>
          <cell r="C9">
            <v>0</v>
          </cell>
          <cell r="D9">
            <v>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Board of Contract Appeals</v>
          </cell>
          <cell r="B10">
            <v>19</v>
          </cell>
          <cell r="C10">
            <v>23</v>
          </cell>
          <cell r="D10">
            <v>18</v>
          </cell>
          <cell r="E10">
            <v>13</v>
          </cell>
          <cell r="F10">
            <v>5</v>
          </cell>
          <cell r="G10">
            <v>8</v>
          </cell>
          <cell r="H10">
            <v>24</v>
          </cell>
        </row>
        <row r="11">
          <cell r="A11" t="str">
            <v>Board of Immigration Appeals</v>
          </cell>
          <cell r="B11">
            <v>0</v>
          </cell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</row>
        <row r="12">
          <cell r="A12" t="str">
            <v>U.S. Court of Appeals for Veterans Claims</v>
          </cell>
          <cell r="B12">
            <v>104</v>
          </cell>
          <cell r="C12">
            <v>142</v>
          </cell>
          <cell r="D12">
            <v>113</v>
          </cell>
          <cell r="E12">
            <v>93</v>
          </cell>
          <cell r="F12">
            <v>20</v>
          </cell>
          <cell r="G12">
            <v>7</v>
          </cell>
          <cell r="H12">
            <v>133</v>
          </cell>
        </row>
        <row r="13">
          <cell r="A13" t="str">
            <v>U.S. Court of Federal Claims</v>
          </cell>
          <cell r="B13">
            <v>301</v>
          </cell>
          <cell r="C13">
            <v>137</v>
          </cell>
          <cell r="D13">
            <v>313</v>
          </cell>
          <cell r="E13">
            <v>296</v>
          </cell>
          <cell r="F13">
            <v>17</v>
          </cell>
          <cell r="G13">
            <v>80</v>
          </cell>
          <cell r="H13">
            <v>125</v>
          </cell>
        </row>
        <row r="14">
          <cell r="A14" t="str">
            <v>U.S. Court of International Trade</v>
          </cell>
          <cell r="B14">
            <v>71</v>
          </cell>
          <cell r="C14">
            <v>40</v>
          </cell>
          <cell r="D14">
            <v>60</v>
          </cell>
          <cell r="E14">
            <v>50</v>
          </cell>
          <cell r="F14">
            <v>10</v>
          </cell>
          <cell r="G14">
            <v>26</v>
          </cell>
          <cell r="H14">
            <v>51</v>
          </cell>
        </row>
        <row r="15">
          <cell r="A15" t="str">
            <v>U.S. District Courts</v>
          </cell>
          <cell r="B15">
            <v>257</v>
          </cell>
          <cell r="C15">
            <v>369</v>
          </cell>
          <cell r="D15">
            <v>265</v>
          </cell>
          <cell r="E15">
            <v>207</v>
          </cell>
          <cell r="F15">
            <v>58</v>
          </cell>
          <cell r="G15">
            <v>21</v>
          </cell>
          <cell r="H15">
            <v>361</v>
          </cell>
        </row>
        <row r="16">
          <cell r="A16" t="str">
            <v>Department of Justice</v>
          </cell>
          <cell r="B16">
            <v>1</v>
          </cell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100</v>
          </cell>
          <cell r="H16">
            <v>0</v>
          </cell>
        </row>
        <row r="17">
          <cell r="A17" t="str">
            <v>Department of Veterans Affairs</v>
          </cell>
          <cell r="B17">
            <v>4</v>
          </cell>
          <cell r="C17">
            <v>3</v>
          </cell>
          <cell r="D17">
            <v>4</v>
          </cell>
          <cell r="E17">
            <v>4</v>
          </cell>
          <cell r="F17">
            <v>0</v>
          </cell>
          <cell r="G17">
            <v>0</v>
          </cell>
          <cell r="H17">
            <v>3</v>
          </cell>
        </row>
        <row r="18">
          <cell r="A18" t="str">
            <v>Environmental Protection Agency</v>
          </cell>
          <cell r="B18">
            <v>0</v>
          </cell>
          <cell r="C18">
            <v>1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International Trade Commission</v>
          </cell>
          <cell r="B19">
            <v>15</v>
          </cell>
          <cell r="C19">
            <v>23</v>
          </cell>
          <cell r="D19">
            <v>11</v>
          </cell>
          <cell r="E19">
            <v>4</v>
          </cell>
          <cell r="F19">
            <v>7</v>
          </cell>
          <cell r="G19">
            <v>0</v>
          </cell>
          <cell r="H19">
            <v>27</v>
          </cell>
        </row>
        <row r="20">
          <cell r="A20" t="str">
            <v>Merit Systems Protection Board</v>
          </cell>
          <cell r="B20">
            <v>72</v>
          </cell>
          <cell r="C20">
            <v>178</v>
          </cell>
          <cell r="D20">
            <v>111</v>
          </cell>
          <cell r="E20">
            <v>79</v>
          </cell>
          <cell r="F20">
            <v>32</v>
          </cell>
          <cell r="G20">
            <v>8</v>
          </cell>
          <cell r="H20">
            <v>139</v>
          </cell>
        </row>
        <row r="21">
          <cell r="A21" t="str">
            <v>Office of Compliance</v>
          </cell>
          <cell r="B21">
            <v>1</v>
          </cell>
          <cell r="C21">
            <v>2</v>
          </cell>
          <cell r="D21">
            <v>1</v>
          </cell>
          <cell r="E21">
            <v>1</v>
          </cell>
          <cell r="F21">
            <v>0</v>
          </cell>
          <cell r="G21">
            <v>0</v>
          </cell>
          <cell r="H21">
            <v>2</v>
          </cell>
        </row>
        <row r="22">
          <cell r="A22" t="str">
            <v>Occupational Safety and Health Commission</v>
          </cell>
          <cell r="B22">
            <v>0</v>
          </cell>
          <cell r="C22">
            <v>1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Patent &amp; Trademark Office</v>
          </cell>
          <cell r="B23">
            <v>529</v>
          </cell>
          <cell r="C23">
            <v>505</v>
          </cell>
          <cell r="D23">
            <v>392</v>
          </cell>
          <cell r="E23">
            <v>269</v>
          </cell>
          <cell r="F23">
            <v>123</v>
          </cell>
          <cell r="G23">
            <v>9</v>
          </cell>
          <cell r="H23">
            <v>642</v>
          </cell>
        </row>
        <row r="24">
          <cell r="A24" t="str">
            <v>Writs*</v>
          </cell>
          <cell r="B24">
            <v>19</v>
          </cell>
          <cell r="C24">
            <v>57</v>
          </cell>
          <cell r="D24">
            <v>70</v>
          </cell>
          <cell r="E24">
            <v>62</v>
          </cell>
          <cell r="F24">
            <v>8</v>
          </cell>
          <cell r="G24">
            <v>0</v>
          </cell>
          <cell r="H24">
            <v>6</v>
          </cell>
        </row>
        <row r="27">
          <cell r="A27" t="str">
            <v>*THIS CATEGORY INCLUDES WRITS OF MANDAMUS, OTHER EXTRAORDINARY WRITS, PETITIONS FOR PERMISSION TO APPEAL, AND DISCRETIONARY PETITIONS FOR REVIEW.</v>
          </cell>
        </row>
        <row r="28">
          <cell r="A28" t="str">
            <v xml:space="preserve">NOTE: The numbers found in the parentheticals explain the difference between the current and previous quarter.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6F8F-C517-4F38-9ED1-A71B3B4B43E8}">
  <dimension ref="A1:V32"/>
  <sheetViews>
    <sheetView showGridLines="0" tabSelected="1" zoomScaleNormal="100" workbookViewId="0">
      <selection activeCell="C21" sqref="C21"/>
    </sheetView>
  </sheetViews>
  <sheetFormatPr defaultColWidth="9.109375" defaultRowHeight="10.199999999999999" x14ac:dyDescent="0.2"/>
  <cols>
    <col min="1" max="1" width="33.6640625" style="1" customWidth="1"/>
    <col min="2" max="2" width="2.6640625" style="1" customWidth="1"/>
    <col min="3" max="3" width="7.6640625" style="1" customWidth="1"/>
    <col min="4" max="5" width="2.6640625" style="1" customWidth="1"/>
    <col min="6" max="6" width="7.6640625" style="1" customWidth="1"/>
    <col min="7" max="8" width="2.6640625" style="1" customWidth="1"/>
    <col min="9" max="9" width="7.6640625" style="1" customWidth="1"/>
    <col min="10" max="11" width="2.6640625" style="1" customWidth="1"/>
    <col min="12" max="12" width="7.6640625" style="1" customWidth="1"/>
    <col min="13" max="14" width="2.6640625" style="1" customWidth="1"/>
    <col min="15" max="15" width="7.6640625" style="1" customWidth="1"/>
    <col min="16" max="17" width="2.6640625" style="1" customWidth="1"/>
    <col min="18" max="18" width="7.6640625" style="1" customWidth="1"/>
    <col min="19" max="20" width="2.6640625" style="1" customWidth="1"/>
    <col min="21" max="21" width="7.6640625" style="1" customWidth="1"/>
    <col min="22" max="22" width="2.6640625" style="1" customWidth="1"/>
    <col min="23" max="16384" width="9.109375" style="1"/>
  </cols>
  <sheetData>
    <row r="1" spans="1:22" ht="12" customHeight="1" x14ac:dyDescent="0.2"/>
    <row r="2" spans="1:22" ht="13.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25">
      <c r="A4" s="2" t="str">
        <f>REPLACE(REPLACE('[1]Raw Data - Table B-8'!A3,12,6,12),28,5,"Ending")</f>
        <v>During the 12-Month Period Ending March 31,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">
      <c r="A10" s="17" t="s">
        <v>11</v>
      </c>
      <c r="B10" s="16"/>
      <c r="C10" s="18">
        <f>IF(SUM(C12:C27)=VLOOKUP(TRIM($A10),'[1]Raw Data - Table B-8'!$A$7:$O$36,2,FALSE),SUM(C12:C27),"ERROR")</f>
        <v>1394</v>
      </c>
      <c r="D10" s="19"/>
      <c r="E10" s="19"/>
      <c r="F10" s="18">
        <f>IF(SUM(F13:F27)=VLOOKUP(TRIM($A10),'[1]Raw Data - Table B-8'!$A$7:$O$36,3,FALSE),SUM(F13:F27),"ERROR")</f>
        <v>1482</v>
      </c>
      <c r="G10" s="20"/>
      <c r="H10" s="20"/>
      <c r="I10" s="21">
        <f>IF(SUM(I12:I27)=VLOOKUP(TRIM($A10),'[1]Raw Data - Table B-8'!$A$7:$O$36,4,FALSE),IF(SUM(I12:I27)=(L10+O10),(L10+O10),"ERROR"),"ERROR")</f>
        <v>1362</v>
      </c>
      <c r="J10" s="19"/>
      <c r="K10" s="19"/>
      <c r="L10" s="21">
        <f>IF(SUM(L12:L27)=VLOOKUP(TRIM($A10),'[1]Raw Data - Table B-8'!$A$7:$O$36,5,FALSE),SUM(L12:L27),"ERROR")</f>
        <v>1082</v>
      </c>
      <c r="M10" s="19"/>
      <c r="N10" s="19"/>
      <c r="O10" s="21">
        <f>IF(SUM(O13:O27)=VLOOKUP(TRIM($A10),'[1]Raw Data - Table B-8'!$A$7:$O$36,6,FALSE),SUM(O13:O27),"ERROR")</f>
        <v>280</v>
      </c>
      <c r="P10" s="22"/>
      <c r="Q10" s="22"/>
      <c r="R10" s="23">
        <f>VALUE(VLOOKUP(TRIM($A10),'[1]Raw Data - Table B-8'!$A$7:$O$36,7,FALSE))</f>
        <v>34</v>
      </c>
      <c r="S10" s="19"/>
      <c r="T10" s="19"/>
      <c r="U10" s="21">
        <f>IF(SUM(U13:U27)=VLOOKUP(TRIM($A10),'[1]Raw Data - Table B-8'!$A$7:$O$36,8,FALSE),IF((C10+F10-I10)=SUM(U13:U27),SUM(U13:U27),"ERROR"),"ERROR")</f>
        <v>1514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16"/>
      <c r="C12" s="19">
        <f>IF(VLOOKUP($A12,'[1]Raw Data - Table B-8'!$A$7:$O$36,2,FALSE)=0,0,VLOOKUP($A12,'[1]Raw Data - Table B-8'!$A$7:$O$36,2,FALSE))</f>
        <v>1</v>
      </c>
      <c r="D12" s="19"/>
      <c r="E12" s="19"/>
      <c r="F12" s="19">
        <f>IF(VLOOKUP($A12,'[1]Raw Data - Table B-8'!$A$7:$O$36,3,FALSE)=0,0,VLOOKUP($A12,'[1]Raw Data - Table B-8'!$A$7:$O$36,3,FALSE))</f>
        <v>0</v>
      </c>
      <c r="G12" s="20"/>
      <c r="H12" s="20"/>
      <c r="I12" s="19">
        <f>IF(VLOOKUP($A12,'[1]Raw Data - Table B-8'!$A$7:$O$36,4,FALSE)=0,0,VLOOKUP($A12,'[1]Raw Data - Table B-8'!$A$7:$O$36,4,FALSE))</f>
        <v>1</v>
      </c>
      <c r="J12" s="19"/>
      <c r="K12" s="19"/>
      <c r="L12" s="19">
        <f>IF(VLOOKUP($A12,'[1]Raw Data - Table B-8'!$A$7:$O$36,5,FALSE)=0,0,VLOOKUP($A12,'[1]Raw Data - Table B-8'!$A$7:$O$36,5,FALSE))</f>
        <v>1</v>
      </c>
      <c r="M12" s="19"/>
      <c r="N12" s="19"/>
      <c r="O12" s="19">
        <f>IF(VLOOKUP($A12,'[1]Raw Data - Table B-8'!$A$7:$O$36,6,FALSE)=0,0,VLOOKUP($A12,'[1]Raw Data - Table B-8'!$A$7:$O$36,6,FALSE))</f>
        <v>0</v>
      </c>
      <c r="P12" s="22"/>
      <c r="Q12" s="22"/>
      <c r="R12" s="19">
        <f>IF(VLOOKUP($A12,'[1]Raw Data - Table B-8'!$A$7:$O$36,7,FALSE)=0,0,VLOOKUP($A12,'[1]Raw Data - Table B-8'!$A$7:$O$36,7,FALSE))</f>
        <v>0</v>
      </c>
      <c r="S12" s="19"/>
      <c r="T12" s="19"/>
      <c r="U12" s="19">
        <f>IF(VLOOKUP($A12,'[1]Raw Data - Table B-8'!$A$7:$O$36,8,FALSE)=0,0,VLOOKUP($A12,'[1]Raw Data - Table B-8'!$A$7:$O$36,8,FALSE))</f>
        <v>0</v>
      </c>
      <c r="V12" s="16"/>
    </row>
    <row r="13" spans="1:22" ht="11.25" customHeight="1" x14ac:dyDescent="0.2">
      <c r="A13" s="1" t="s">
        <v>13</v>
      </c>
      <c r="B13" s="24"/>
      <c r="C13" s="25">
        <f>IF(VLOOKUP($A13,'[1]Raw Data - Table B-8'!$A$7:$O$36,2,FALSE)=0,0,VLOOKUP($A13,'[1]Raw Data - Table B-8'!$A$7:$O$36,2,FALSE))</f>
        <v>19</v>
      </c>
      <c r="D13" s="20"/>
      <c r="E13" s="20"/>
      <c r="F13" s="19">
        <f>IF(VLOOKUP($A13,'[1]Raw Data - Table B-8'!$A$7:$O$36,3,FALSE)=0,0,VLOOKUP($A13,'[1]Raw Data - Table B-8'!$A$7:$O$36,3,FALSE))</f>
        <v>23</v>
      </c>
      <c r="G13" s="22"/>
      <c r="H13" s="22"/>
      <c r="I13" s="19">
        <f>IF(VALUE(VLOOKUP($A13,'[1]Raw Data - Table B-8'!$A$7:$O$36,4,FALSE))=SUM(L13,O13),SUM(L13,O13),"ERROR")</f>
        <v>18</v>
      </c>
      <c r="J13" s="22"/>
      <c r="K13" s="22"/>
      <c r="L13" s="19">
        <f>IF(VLOOKUP($A13,'[1]Raw Data - Table B-8'!$A$7:$O$36,5,FALSE)=0,0,VLOOKUP($A13,'[1]Raw Data - Table B-8'!$A$7:$O$36,5,FALSE))</f>
        <v>13</v>
      </c>
      <c r="M13" s="22"/>
      <c r="N13" s="22"/>
      <c r="O13" s="19">
        <f>IF(VLOOKUP($A13,'[1]Raw Data - Table B-8'!$A$7:$O$36,6,FALSE)=0,0,VLOOKUP($A13,'[1]Raw Data - Table B-8'!$A$7:$O$36,6,FALSE))</f>
        <v>5</v>
      </c>
      <c r="P13" s="22"/>
      <c r="Q13" s="22"/>
      <c r="R13" s="19">
        <f>IF(VALUE(VLOOKUP($A13,'[1]Raw Data - Table B-8'!$A$7:$O$36,7,FALSE))=0,0,VALUE(VLOOKUP($A13,'[1]Raw Data - Table B-8'!$A$7:$O$36,7,FALSE)))</f>
        <v>8</v>
      </c>
      <c r="S13" s="22"/>
      <c r="T13" s="22"/>
      <c r="U13" s="22">
        <f>IF(VALUE(VLOOKUP($A13,'[1]Raw Data - Table B-8'!$A$7:$O$36,8,FALSE))=(C13+F13-I13),(C13+F13-I13),"ERROR")</f>
        <v>24</v>
      </c>
      <c r="V13" s="24"/>
    </row>
    <row r="14" spans="1:22" ht="11.25" customHeight="1" x14ac:dyDescent="0.2">
      <c r="A14" s="1" t="s">
        <v>14</v>
      </c>
      <c r="B14" s="24"/>
      <c r="C14" s="25">
        <f>IF(VLOOKUP($A14,'[1]Raw Data - Table B-8'!$A$7:$O$36,2,FALSE)=0,0,VLOOKUP($A14,'[1]Raw Data - Table B-8'!$A$7:$O$36,2,FALSE))</f>
        <v>0</v>
      </c>
      <c r="D14" s="20"/>
      <c r="E14" s="20"/>
      <c r="F14" s="19">
        <f>IF(VLOOKUP($A14,'[1]Raw Data - Table B-8'!$A$7:$O$36,3,FALSE)=0,0,VLOOKUP($A14,'[1]Raw Data - Table B-8'!$A$7:$O$36,3,FALSE))</f>
        <v>1</v>
      </c>
      <c r="G14" s="22"/>
      <c r="H14" s="22"/>
      <c r="I14" s="19">
        <f>IF(VALUE(VLOOKUP($A14,'[1]Raw Data - Table B-8'!$A$7:$O$36,4,FALSE))=SUM(L14,O14),SUM(L14,O14),"ERROR")</f>
        <v>0</v>
      </c>
      <c r="J14" s="22"/>
      <c r="K14" s="22"/>
      <c r="L14" s="19">
        <f>IF(VLOOKUP($A14,'[1]Raw Data - Table B-8'!$A$7:$O$36,5,FALSE)=0,0,VLOOKUP($A14,'[1]Raw Data - Table B-8'!$A$7:$O$36,5,FALSE))</f>
        <v>0</v>
      </c>
      <c r="M14" s="22"/>
      <c r="N14" s="22"/>
      <c r="O14" s="19">
        <f>IF(VLOOKUP($A14,'[1]Raw Data - Table B-8'!$A$7:$O$36,6,FALSE)=0,0,VLOOKUP($A14,'[1]Raw Data - Table B-8'!$A$7:$O$36,6,FALSE))</f>
        <v>0</v>
      </c>
      <c r="P14" s="22"/>
      <c r="Q14" s="22"/>
      <c r="R14" s="19">
        <f>IF(VALUE(VLOOKUP($A14,'[1]Raw Data - Table B-8'!$A$7:$O$36,7,FALSE))=0,0,VALUE(VLOOKUP($A14,'[1]Raw Data - Table B-8'!$A$7:$O$36,7,FALSE)))</f>
        <v>0</v>
      </c>
      <c r="S14" s="22"/>
      <c r="T14" s="22"/>
      <c r="U14" s="22">
        <f>IF(VALUE(VLOOKUP($A14,'[1]Raw Data - Table B-8'!$A$7:$O$36,8,FALSE))=(C14+F14-I14),(C14+F14-I14),"ERROR")</f>
        <v>1</v>
      </c>
      <c r="V14" s="24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71</v>
      </c>
      <c r="D15" s="19"/>
      <c r="E15" s="19"/>
      <c r="F15" s="19">
        <f>IF(VLOOKUP($A15,'[1]Raw Data - Table B-8'!$A$7:$O$36,3,FALSE)=0,0,VLOOKUP($A15,'[1]Raw Data - Table B-8'!$A$7:$O$36,3,FALSE))</f>
        <v>40</v>
      </c>
      <c r="G15" s="22"/>
      <c r="H15" s="22"/>
      <c r="I15" s="19">
        <f>IF(VALUE(VLOOKUP($A15,'[1]Raw Data - Table B-8'!$A$7:$O$36,4,FALSE))=SUM(L15,O15),SUM(L15,O15),"ERROR")</f>
        <v>60</v>
      </c>
      <c r="J15" s="19"/>
      <c r="K15" s="19"/>
      <c r="L15" s="19">
        <f>IF(VLOOKUP($A15,'[1]Raw Data - Table B-8'!$A$7:$O$36,5,FALSE)=0,0,VLOOKUP($A15,'[1]Raw Data - Table B-8'!$A$7:$O$36,5,FALSE))</f>
        <v>50</v>
      </c>
      <c r="M15" s="19"/>
      <c r="N15" s="19"/>
      <c r="O15" s="19">
        <f>IF(VLOOKUP($A15,'[1]Raw Data - Table B-8'!$A$7:$O$36,6,FALSE)=0,0,VLOOKUP($A15,'[1]Raw Data - Table B-8'!$A$7:$O$36,6,FALSE))</f>
        <v>10</v>
      </c>
      <c r="P15" s="22"/>
      <c r="Q15" s="22"/>
      <c r="R15" s="19">
        <f>IF(VALUE(VLOOKUP($A15,'[1]Raw Data - Table B-8'!$A$7:$O$36,7,FALSE))=0,0,VALUE(VLOOKUP($A15,'[1]Raw Data - Table B-8'!$A$7:$O$36,7,FALSE)))</f>
        <v>26</v>
      </c>
      <c r="S15" s="19"/>
      <c r="T15" s="19"/>
      <c r="U15" s="22">
        <f>IF(VALUE(VLOOKUP($A15,'[1]Raw Data - Table B-8'!$A$7:$O$36,8,FALSE))=(C15+F15-I15),(C15+F15-I15),"ERROR")</f>
        <v>51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301</v>
      </c>
      <c r="D16" s="19"/>
      <c r="E16" s="19"/>
      <c r="F16" s="19">
        <f>IF(VLOOKUP($A16,'[1]Raw Data - Table B-8'!$A$7:$O$36,3,FALSE)=0,0,VLOOKUP($A16,'[1]Raw Data - Table B-8'!$A$7:$O$36,3,FALSE))</f>
        <v>137</v>
      </c>
      <c r="G16" s="22"/>
      <c r="H16" s="22"/>
      <c r="I16" s="19">
        <f>IF(VALUE(VLOOKUP($A16,'[1]Raw Data - Table B-8'!$A$7:$O$36,4,FALSE))=SUM(L16,O16),SUM(L16,O16),"ERROR")</f>
        <v>313</v>
      </c>
      <c r="J16" s="19"/>
      <c r="K16" s="19"/>
      <c r="L16" s="19">
        <f>IF(VLOOKUP($A16,'[1]Raw Data - Table B-8'!$A$7:$O$36,5,FALSE)=0,0,VLOOKUP($A16,'[1]Raw Data - Table B-8'!$A$7:$O$36,5,FALSE))</f>
        <v>296</v>
      </c>
      <c r="M16" s="19"/>
      <c r="N16" s="19"/>
      <c r="O16" s="19">
        <f>IF(VLOOKUP($A16,'[1]Raw Data - Table B-8'!$A$7:$O$36,6,FALSE)=0,0,VLOOKUP($A16,'[1]Raw Data - Table B-8'!$A$7:$O$36,6,FALSE))</f>
        <v>17</v>
      </c>
      <c r="P16" s="22"/>
      <c r="Q16" s="22"/>
      <c r="R16" s="19">
        <f>IF(VALUE(VLOOKUP($A16,'[1]Raw Data - Table B-8'!$A$7:$O$36,7,FALSE))=0,0,VALUE(VLOOKUP($A16,'[1]Raw Data - Table B-8'!$A$7:$O$36,7,FALSE)))</f>
        <v>80</v>
      </c>
      <c r="S16" s="19"/>
      <c r="T16" s="19"/>
      <c r="U16" s="22">
        <f>IF(VALUE(VLOOKUP($A16,'[1]Raw Data - Table B-8'!$A$7:$O$36,8,FALSE))=(C16+F16-I16),(C16+F16-I16),"ERROR")</f>
        <v>125</v>
      </c>
      <c r="V16" s="16"/>
    </row>
    <row r="17" spans="1:22" ht="11.25" customHeight="1" x14ac:dyDescent="0.2">
      <c r="A17" s="1" t="s">
        <v>17</v>
      </c>
      <c r="B17" s="16"/>
      <c r="C17" s="25">
        <f>IF(VLOOKUP($A17,'[1]Raw Data - Table B-8'!$A$7:$O$36,2,FALSE)=0,0,VLOOKUP($A17,'[1]Raw Data - Table B-8'!$A$7:$O$36,2,FALSE))</f>
        <v>104</v>
      </c>
      <c r="D17" s="19"/>
      <c r="E17" s="19"/>
      <c r="F17" s="19">
        <f>IF(VLOOKUP($A17,'[1]Raw Data - Table B-8'!$A$7:$O$36,3,FALSE)=0,0,VLOOKUP($A17,'[1]Raw Data - Table B-8'!$A$7:$O$36,3,FALSE))</f>
        <v>142</v>
      </c>
      <c r="G17" s="22"/>
      <c r="H17" s="22"/>
      <c r="I17" s="19">
        <f>IF(VALUE(VLOOKUP($A17,'[1]Raw Data - Table B-8'!$A$7:$O$36,4,FALSE))=SUM(L17,O17),SUM(L17,O17),"ERROR")</f>
        <v>113</v>
      </c>
      <c r="J17" s="19"/>
      <c r="K17" s="19"/>
      <c r="L17" s="19">
        <f>IF(VLOOKUP($A17,'[1]Raw Data - Table B-8'!$A$7:$O$36,5,FALSE)=0,0,VLOOKUP($A17,'[1]Raw Data - Table B-8'!$A$7:$O$36,5,FALSE))</f>
        <v>93</v>
      </c>
      <c r="M17" s="19"/>
      <c r="N17" s="19"/>
      <c r="O17" s="19">
        <f>IF(VLOOKUP($A17,'[1]Raw Data - Table B-8'!$A$7:$O$36,6,FALSE)=0,0,VLOOKUP($A17,'[1]Raw Data - Table B-8'!$A$7:$O$36,6,FALSE))</f>
        <v>20</v>
      </c>
      <c r="P17" s="22"/>
      <c r="Q17" s="22"/>
      <c r="R17" s="19">
        <f>IF(VALUE(VLOOKUP($A17,'[1]Raw Data - Table B-8'!$A$7:$O$36,7,FALSE))=0,0,VALUE(VLOOKUP($A17,'[1]Raw Data - Table B-8'!$A$7:$O$36,7,FALSE)))</f>
        <v>7</v>
      </c>
      <c r="S17" s="19"/>
      <c r="T17" s="19"/>
      <c r="U17" s="22">
        <f>IF(VALUE(VLOOKUP($A17,'[1]Raw Data - Table B-8'!$A$7:$O$36,8,FALSE))=(C17+F17-I17),(C17+F17-I17),"ERROR")</f>
        <v>133</v>
      </c>
      <c r="V17" s="16"/>
    </row>
    <row r="18" spans="1:22" ht="11.25" customHeight="1" x14ac:dyDescent="0.2">
      <c r="A18" s="1" t="s">
        <v>18</v>
      </c>
      <c r="B18" s="16"/>
      <c r="C18" s="25">
        <f>IF(VLOOKUP($A18,'[1]Raw Data - Table B-8'!$A$7:$O$36,2,FALSE)=0,0,VLOOKUP($A18,'[1]Raw Data - Table B-8'!$A$7:$O$36,2,FALSE))</f>
        <v>257</v>
      </c>
      <c r="D18" s="19"/>
      <c r="E18" s="19"/>
      <c r="F18" s="19">
        <f>IF(VLOOKUP($A18,'[1]Raw Data - Table B-8'!$A$7:$O$36,3,FALSE)=0,0,VLOOKUP($A18,'[1]Raw Data - Table B-8'!$A$7:$O$36,3,FALSE))</f>
        <v>369</v>
      </c>
      <c r="G18" s="22"/>
      <c r="H18" s="22"/>
      <c r="I18" s="19">
        <f>IF(VALUE(VLOOKUP($A18,'[1]Raw Data - Table B-8'!$A$7:$O$36,4,FALSE))=SUM(L18,O18),SUM(L18,O18),"ERROR")</f>
        <v>265</v>
      </c>
      <c r="J18" s="19"/>
      <c r="K18" s="19"/>
      <c r="L18" s="19">
        <f>IF(VLOOKUP($A18,'[1]Raw Data - Table B-8'!$A$7:$O$36,5,FALSE)=0,0,VLOOKUP($A18,'[1]Raw Data - Table B-8'!$A$7:$O$36,5,FALSE))</f>
        <v>207</v>
      </c>
      <c r="M18" s="19"/>
      <c r="N18" s="19"/>
      <c r="O18" s="19">
        <f>IF(VLOOKUP($A18,'[1]Raw Data - Table B-8'!$A$7:$O$36,6,FALSE)=0,0,VLOOKUP($A18,'[1]Raw Data - Table B-8'!$A$7:$O$36,6,FALSE))</f>
        <v>58</v>
      </c>
      <c r="P18" s="22"/>
      <c r="Q18" s="22"/>
      <c r="R18" s="19">
        <f>IF(VALUE(VLOOKUP($A18,'[1]Raw Data - Table B-8'!$A$7:$O$36,7,FALSE))=0,0,VALUE(VLOOKUP($A18,'[1]Raw Data - Table B-8'!$A$7:$O$36,7,FALSE)))</f>
        <v>21</v>
      </c>
      <c r="S18" s="19"/>
      <c r="T18" s="19"/>
      <c r="U18" s="22">
        <f>IF(VALUE(VLOOKUP($A18,'[1]Raw Data - Table B-8'!$A$7:$O$36,8,FALSE))=(C18+F18-I18),(C18+F18-I18),"ERROR")</f>
        <v>361</v>
      </c>
      <c r="V18" s="16"/>
    </row>
    <row r="19" spans="1:22" ht="11.25" customHeight="1" x14ac:dyDescent="0.2">
      <c r="A19" s="1" t="s">
        <v>19</v>
      </c>
      <c r="B19" s="16"/>
      <c r="C19" s="19">
        <f>IF(VLOOKUP(LEFT($A19,21),'[1]Raw Data - Table B-8'!$A$7:$O$36,2,FALSE)=0,0,VLOOKUP(LEFT($A19,21),'[1]Raw Data - Table B-8'!$A$7:$O$36,2,FALSE))</f>
        <v>1</v>
      </c>
      <c r="D19" s="19"/>
      <c r="E19" s="19"/>
      <c r="F19" s="19">
        <f>IF(VLOOKUP(LEFT($A19,21),'[1]Raw Data - Table B-8'!$A$7:$O$36,3,FALSE)=0,0,VLOOKUP(LEFT($A19,21),'[1]Raw Data - Table B-8'!$A$7:$O$36,3,FALSE))</f>
        <v>0</v>
      </c>
      <c r="G19" s="22"/>
      <c r="H19" s="22"/>
      <c r="I19" s="19">
        <f>IF(VALUE(VLOOKUP(LEFT($A19,21),'[1]Raw Data - Table B-8'!$A$7:$O$36,4,FALSE))=SUM(L19,O19),SUM(L19,O19),"ERROR")</f>
        <v>1</v>
      </c>
      <c r="J19" s="19"/>
      <c r="K19" s="19"/>
      <c r="L19" s="19">
        <f>IF(VLOOKUP(LEFT($A19,21),'[1]Raw Data - Table B-8'!$A$7:$O$36,5,FALSE)=0,0,VLOOKUP(LEFT($A19,21),'[1]Raw Data - Table B-8'!$A$7:$O$36,5,FALSE))</f>
        <v>1</v>
      </c>
      <c r="M19" s="19"/>
      <c r="N19" s="19"/>
      <c r="O19" s="19">
        <f>IF(VLOOKUP(LEFT($A19,21),'[1]Raw Data - Table B-8'!$A$7:$O$36,6,FALSE)=0,0,VLOOKUP(LEFT($A19,21),'[1]Raw Data - Table B-8'!$A$7:$O$36,6,FALSE))</f>
        <v>0</v>
      </c>
      <c r="P19" s="22"/>
      <c r="Q19" s="22"/>
      <c r="R19" s="19">
        <f>IF(VALUE(VLOOKUP(LEFT($A19,21),'[1]Raw Data - Table B-8'!$A$7:$O$36,7,FALSE))=0,0,VALUE(VLOOKUP(LEFT($A19,21),'[1]Raw Data - Table B-8'!$A$7:$O$36,7,FALSE)))</f>
        <v>100</v>
      </c>
      <c r="S19" s="19"/>
      <c r="T19" s="19"/>
      <c r="U19" s="22">
        <f>IF(VALUE(VLOOKUP(LEFT($A19,21),'[1]Raw Data - Table B-8'!$A$7:$O$36,8,FALSE))=(C19+F19-I19),(C19+F19-I19),"ERROR")</f>
        <v>0</v>
      </c>
      <c r="V19" s="16"/>
    </row>
    <row r="20" spans="1:22" ht="11.25" customHeight="1" x14ac:dyDescent="0.2">
      <c r="A20" s="1" t="s">
        <v>20</v>
      </c>
      <c r="B20" s="16"/>
      <c r="C20" s="25">
        <f>IF(VLOOKUP($A20,'[1]Raw Data - Table B-8'!$A$7:$O$36,2,FALSE)=0,0,VLOOKUP($A20,'[1]Raw Data - Table B-8'!$A$7:$O$36,2,FALSE))</f>
        <v>4</v>
      </c>
      <c r="D20" s="19"/>
      <c r="E20" s="19"/>
      <c r="F20" s="19">
        <f>IF(VLOOKUP($A20,'[1]Raw Data - Table B-8'!$A$7:$O$36,3,FALSE)=0,0,VLOOKUP($A20,'[1]Raw Data - Table B-8'!$A$7:$O$36,3,FALSE))</f>
        <v>3</v>
      </c>
      <c r="G20" s="22"/>
      <c r="H20" s="22"/>
      <c r="I20" s="19">
        <f>IF(VALUE(VLOOKUP($A20,'[1]Raw Data - Table B-8'!$A$7:$O$36,4,FALSE))=SUM(L20,O20),SUM(L20,O20),"ERROR")</f>
        <v>4</v>
      </c>
      <c r="J20" s="19"/>
      <c r="K20" s="19"/>
      <c r="L20" s="19">
        <f>IF(VLOOKUP($A20,'[1]Raw Data - Table B-8'!$A$7:$O$36,5,FALSE)=0,0,VLOOKUP($A20,'[1]Raw Data - Table B-8'!$A$7:$O$36,5,FALSE))</f>
        <v>4</v>
      </c>
      <c r="M20" s="19"/>
      <c r="N20" s="19"/>
      <c r="O20" s="19">
        <f>IF(VLOOKUP($A20,'[1]Raw Data - Table B-8'!$A$7:$O$36,6,FALSE)=0,0,VLOOKUP($A20,'[1]Raw Data - Table B-8'!$A$7:$O$36,6,FALSE))</f>
        <v>0</v>
      </c>
      <c r="P20" s="22"/>
      <c r="Q20" s="22"/>
      <c r="R20" s="19">
        <f>IF(VALUE(VLOOKUP($A20,'[1]Raw Data - Table B-8'!$A$7:$O$36,7,FALSE))=0,0,VALUE(VLOOKUP($A20,'[1]Raw Data - Table B-8'!$A$7:$O$36,7,FALSE)))</f>
        <v>0</v>
      </c>
      <c r="S20" s="19"/>
      <c r="T20" s="19"/>
      <c r="U20" s="22">
        <f>IF(VALUE(VLOOKUP($A20,'[1]Raw Data - Table B-8'!$A$7:$O$36,8,FALSE))=(C20+F20-I20),(C20+F20-I20),"ERROR")</f>
        <v>3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0</v>
      </c>
      <c r="D21" s="19"/>
      <c r="E21" s="19"/>
      <c r="F21" s="25">
        <f>IF(VLOOKUP($A21,'[1]Raw Data - Table B-8'!$A$7:$O$36,3,FALSE)=0,0,VLOOKUP($A21,'[1]Raw Data - Table B-8'!$A$7:$O$36,3,FALSE))</f>
        <v>1</v>
      </c>
      <c r="G21" s="22"/>
      <c r="H21" s="22"/>
      <c r="I21" s="19">
        <f>IF(VALUE(VLOOKUP($A21,'[1]Raw Data - Table B-8'!$A$7:$O$36,4,FALSE))=SUM(L21,O21),SUM(L21,O21),"ERROR")</f>
        <v>1</v>
      </c>
      <c r="J21" s="19"/>
      <c r="K21" s="19"/>
      <c r="L21" s="25">
        <f>IF(VLOOKUP($A21,'[1]Raw Data - Table B-8'!$A$7:$O$36,5,FALSE)=0,0,VLOOKUP($A21,'[1]Raw Data - Table B-8'!$A$7:$O$36,5,FALSE))</f>
        <v>1</v>
      </c>
      <c r="M21" s="19"/>
      <c r="N21" s="19"/>
      <c r="O21" s="19">
        <f>IF(VLOOKUP($A21,'[1]Raw Data - Table B-8'!$A$7:$O$36,6,FALSE)=0,0,VLOOKUP($A21,'[1]Raw Data - Table B-8'!$A$7:$O$36,6,FALSE))</f>
        <v>0</v>
      </c>
      <c r="P21" s="22"/>
      <c r="Q21" s="22"/>
      <c r="R21" s="19">
        <f>IF(VALUE(VLOOKUP($A21,'[1]Raw Data - Table B-8'!$A$7:$O$36,7,FALSE))=0,0,VALUE(VLOOKUP($A21,'[1]Raw Data - Table B-8'!$A$7:$O$36,7,FALSE)))</f>
        <v>0</v>
      </c>
      <c r="S21" s="19"/>
      <c r="T21" s="19"/>
      <c r="U21" s="22">
        <f>IF(VALUE(VLOOKUP($A21,'[1]Raw Data - Table B-8'!$A$7:$O$36,8,FALSE))=(C21+F21-I21),(C21+F21-I21),"ERROR")</f>
        <v>0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15</v>
      </c>
      <c r="D22" s="19"/>
      <c r="E22" s="19"/>
      <c r="F22" s="19">
        <f>IF(VLOOKUP($A22,'[1]Raw Data - Table B-8'!$A$7:$O$36,3,FALSE)=0,0,VLOOKUP($A22,'[1]Raw Data - Table B-8'!$A$7:$O$36,3,FALSE))</f>
        <v>23</v>
      </c>
      <c r="G22" s="22"/>
      <c r="H22" s="22"/>
      <c r="I22" s="19">
        <f>IF(VALUE(VLOOKUP($A22,'[1]Raw Data - Table B-8'!$A$7:$O$36,4,FALSE))=SUM(L22,O22),SUM(L22,O22),"ERROR")</f>
        <v>11</v>
      </c>
      <c r="J22" s="19"/>
      <c r="K22" s="19"/>
      <c r="L22" s="19">
        <f>IF(VLOOKUP($A22,'[1]Raw Data - Table B-8'!$A$7:$O$36,5,FALSE)=0,0,VLOOKUP($A22,'[1]Raw Data - Table B-8'!$A$7:$O$36,5,FALSE))</f>
        <v>4</v>
      </c>
      <c r="M22" s="19"/>
      <c r="N22" s="19"/>
      <c r="O22" s="19">
        <f>IF(VLOOKUP($A22,'[1]Raw Data - Table B-8'!$A$7:$O$36,6,FALSE)=0,0,VLOOKUP($A22,'[1]Raw Data - Table B-8'!$A$7:$O$36,6,FALSE))</f>
        <v>7</v>
      </c>
      <c r="P22" s="22"/>
      <c r="Q22" s="22"/>
      <c r="R22" s="19">
        <f>IF(VALUE(VLOOKUP($A22,'[1]Raw Data - Table B-8'!$A$7:$O$36,7,FALSE))=0,0,VALUE(VLOOKUP($A22,'[1]Raw Data - Table B-8'!$A$7:$O$36,7,FALSE)))</f>
        <v>0</v>
      </c>
      <c r="S22" s="19"/>
      <c r="T22" s="19"/>
      <c r="U22" s="22">
        <f>IF(VALUE(VLOOKUP($A22,'[1]Raw Data - Table B-8'!$A$7:$O$36,8,FALSE))=(C22+F22-I22),(C22+F22-I22),"ERROR")</f>
        <v>27</v>
      </c>
      <c r="V22" s="16"/>
    </row>
    <row r="23" spans="1:22" ht="11.25" customHeight="1" x14ac:dyDescent="0.2">
      <c r="A23" s="1" t="s">
        <v>23</v>
      </c>
      <c r="B23" s="16"/>
      <c r="C23" s="25">
        <f>IF(VLOOKUP($A23,'[1]Raw Data - Table B-8'!$A$7:$O$36,2,FALSE)=0,0,VLOOKUP($A23,'[1]Raw Data - Table B-8'!$A$7:$O$36,2,FALSE))</f>
        <v>72</v>
      </c>
      <c r="D23" s="19"/>
      <c r="E23" s="19"/>
      <c r="F23" s="19">
        <f>IF(VLOOKUP($A23,'[1]Raw Data - Table B-8'!$A$7:$O$36,3,FALSE)=0,0,VLOOKUP($A23,'[1]Raw Data - Table B-8'!$A$7:$O$36,3,FALSE))</f>
        <v>178</v>
      </c>
      <c r="G23" s="22"/>
      <c r="H23" s="22"/>
      <c r="I23" s="19">
        <f>IF(VALUE(VLOOKUP($A23,'[1]Raw Data - Table B-8'!$A$7:$O$36,4,FALSE))=SUM(L23,O23),SUM(L23,O23),"ERROR")</f>
        <v>111</v>
      </c>
      <c r="J23" s="19"/>
      <c r="K23" s="19"/>
      <c r="L23" s="19">
        <f>IF(VLOOKUP($A23,'[1]Raw Data - Table B-8'!$A$7:$O$36,5,FALSE)=0,0,VLOOKUP($A23,'[1]Raw Data - Table B-8'!$A$7:$O$36,5,FALSE))</f>
        <v>79</v>
      </c>
      <c r="M23" s="19"/>
      <c r="N23" s="19"/>
      <c r="O23" s="19">
        <f>IF(VLOOKUP($A23,'[1]Raw Data - Table B-8'!$A$7:$O$36,6,FALSE)=0,0,VLOOKUP($A23,'[1]Raw Data - Table B-8'!$A$7:$O$36,6,FALSE))</f>
        <v>32</v>
      </c>
      <c r="P23" s="22"/>
      <c r="Q23" s="22"/>
      <c r="R23" s="19">
        <f>IF(VALUE(VLOOKUP($A23,'[1]Raw Data - Table B-8'!$A$7:$O$36,7,FALSE))=0,0,VALUE(VLOOKUP($A23,'[1]Raw Data - Table B-8'!$A$7:$O$36,7,FALSE)))</f>
        <v>8</v>
      </c>
      <c r="S23" s="19"/>
      <c r="T23" s="19"/>
      <c r="U23" s="22">
        <f>IF(VALUE(VLOOKUP($A23,'[1]Raw Data - Table B-8'!$A$7:$O$36,8,FALSE))=(C23+F23-I23),(C23+F23-I23),"ERROR")</f>
        <v>139</v>
      </c>
      <c r="V23" s="16"/>
    </row>
    <row r="24" spans="1:22" ht="11.25" customHeight="1" x14ac:dyDescent="0.2">
      <c r="A24" s="1" t="s">
        <v>24</v>
      </c>
      <c r="B24" s="16"/>
      <c r="C24" s="25">
        <f>IF(VLOOKUP($A24,'[1]Raw Data - Table B-8'!$A$7:$O$36,2,FALSE)=0,0,VLOOKUP($A24,'[1]Raw Data - Table B-8'!$A$7:$O$36,2,FALSE))</f>
        <v>1</v>
      </c>
      <c r="D24" s="19"/>
      <c r="E24" s="19"/>
      <c r="F24" s="19">
        <f>IF(VLOOKUP($A24,'[1]Raw Data - Table B-8'!$A$7:$O$36,3,FALSE)=0,0,VLOOKUP($A24,'[1]Raw Data - Table B-8'!$A$7:$O$36,3,FALSE))</f>
        <v>2</v>
      </c>
      <c r="G24" s="22"/>
      <c r="H24" s="22"/>
      <c r="I24" s="19">
        <f>IF(VALUE(VLOOKUP($A24,'[1]Raw Data - Table B-8'!$A$7:$O$36,4,FALSE))=SUM(L24,O24),SUM(L24,O24),"ERROR")</f>
        <v>1</v>
      </c>
      <c r="J24" s="19"/>
      <c r="K24" s="19"/>
      <c r="L24" s="19">
        <f>IF(VLOOKUP($A24,'[1]Raw Data - Table B-8'!$A$7:$O$36,5,FALSE)=0,0,VLOOKUP($A24,'[1]Raw Data - Table B-8'!$A$7:$O$36,5,FALSE))</f>
        <v>1</v>
      </c>
      <c r="M24" s="19"/>
      <c r="N24" s="19"/>
      <c r="O24" s="19">
        <f>IF(VLOOKUP($A24,'[1]Raw Data - Table B-8'!$A$7:$O$36,6,FALSE)=0,0,VLOOKUP($A24,'[1]Raw Data - Table B-8'!$A$7:$O$36,6,FALSE))</f>
        <v>0</v>
      </c>
      <c r="P24" s="22"/>
      <c r="Q24" s="22"/>
      <c r="R24" s="19">
        <f>IF(VALUE(VLOOKUP($A24,'[1]Raw Data - Table B-8'!$A$7:$O$36,7,FALSE))=0,0,VALUE(VLOOKUP($A24,'[1]Raw Data - Table B-8'!$A$7:$O$36,7,FALSE)))</f>
        <v>0</v>
      </c>
      <c r="S24" s="19"/>
      <c r="T24" s="19"/>
      <c r="U24" s="22">
        <f>IF(VALUE(VLOOKUP($A24,'[1]Raw Data - Table B-8'!$A$7:$O$36,8,FALSE))=(C24+F24-I24),(C24+F24-I24),"ERROR")</f>
        <v>2</v>
      </c>
      <c r="V24" s="16"/>
    </row>
    <row r="25" spans="1:22" ht="11.25" customHeight="1" x14ac:dyDescent="0.2">
      <c r="A25" s="1" t="s">
        <v>25</v>
      </c>
      <c r="B25" s="16"/>
      <c r="C25" s="25">
        <f>IF(VLOOKUP($A25,'[1]Raw Data - Table B-8'!$A$7:$O$36,2,FALSE)=0,0,VLOOKUP($A25,'[1]Raw Data - Table B-8'!$A$7:$O$36,2,FALSE))</f>
        <v>0</v>
      </c>
      <c r="D25" s="19"/>
      <c r="E25" s="19"/>
      <c r="F25" s="25">
        <f>IF(VLOOKUP($A25,'[1]Raw Data - Table B-8'!$A$7:$O$36,3,FALSE)=0,0,VLOOKUP($A25,'[1]Raw Data - Table B-8'!$A$7:$O$36,3,FALSE))</f>
        <v>1</v>
      </c>
      <c r="G25" s="22"/>
      <c r="H25" s="22"/>
      <c r="I25" s="25">
        <f>IF(VLOOKUP($A25,'[1]Raw Data - Table B-8'!$A$7:$O$36,4,FALSE)=0,0,VLOOKUP($A25,'[1]Raw Data - Table B-8'!$A$7:$O$36,4,FALSE))</f>
        <v>1</v>
      </c>
      <c r="J25" s="19"/>
      <c r="K25" s="19"/>
      <c r="L25" s="25">
        <f>IF(VLOOKUP($A25,'[1]Raw Data - Table B-8'!$A$7:$O$36,5,FALSE)=0,0,VLOOKUP($A25,'[1]Raw Data - Table B-8'!$A$7:$O$36,5,FALSE))</f>
        <v>1</v>
      </c>
      <c r="M25" s="19"/>
      <c r="N25" s="19"/>
      <c r="O25" s="25">
        <f>IF(VLOOKUP($A25,'[1]Raw Data - Table B-8'!$A$7:$O$36,6,FALSE)=0,0,VLOOKUP($A25,'[1]Raw Data - Table B-8'!$A$7:$O$36,6,FALSE))</f>
        <v>0</v>
      </c>
      <c r="P25" s="22"/>
      <c r="Q25" s="22"/>
      <c r="R25" s="25">
        <f>IF(VLOOKUP($A25,'[1]Raw Data - Table B-8'!$A$7:$O$36,7,FALSE)=0,0,VLOOKUP($A25,'[1]Raw Data - Table B-8'!$A$7:$O$36,7,FALSE))</f>
        <v>0</v>
      </c>
      <c r="S25" s="19"/>
      <c r="T25" s="19"/>
      <c r="U25" s="25">
        <f>IF(VLOOKUP($A25,'[1]Raw Data - Table B-8'!$A$7:$O$36,8,FALSE)=0,0,VLOOKUP($A25,'[1]Raw Data - Table B-8'!$A$7:$O$36,8,FALSE))</f>
        <v>0</v>
      </c>
      <c r="V25" s="16"/>
    </row>
    <row r="26" spans="1:22" ht="11.25" customHeight="1" x14ac:dyDescent="0.2">
      <c r="A26" s="1" t="s">
        <v>26</v>
      </c>
      <c r="B26" s="16"/>
      <c r="C26" s="19">
        <f>IF(VLOOKUP("Patent &amp; Trademark Office",'[1]Raw Data - Table B-8'!$A$7:$O$36,2,FALSE)=0,0,VLOOKUP("Patent &amp; Trademark Office",'[1]Raw Data - Table B-8'!$A$7:$O$36,2,FALSE))</f>
        <v>529</v>
      </c>
      <c r="D26" s="19"/>
      <c r="E26" s="19"/>
      <c r="F26" s="19">
        <f>IF(VLOOKUP("Patent &amp; Trademark Office",'[1]Raw Data - Table B-8'!$A$7:$O$36,3,FALSE)=0,0,VLOOKUP("Patent &amp; Trademark Office",'[1]Raw Data - Table B-8'!$A$7:$O$36,3,FALSE))</f>
        <v>505</v>
      </c>
      <c r="G26" s="22"/>
      <c r="H26" s="22"/>
      <c r="I26" s="19">
        <f>IF(VALUE(VLOOKUP("Patent &amp; Trademark Office",'[1]Raw Data - Table B-8'!$A$7:$O$36,4,FALSE))=SUM(L26,O26),SUM(L26,O26),"ERROR")</f>
        <v>392</v>
      </c>
      <c r="J26" s="19"/>
      <c r="K26" s="19"/>
      <c r="L26" s="19">
        <f>IF(VLOOKUP("Patent &amp; Trademark Office",'[1]Raw Data - Table B-8'!$A$7:$O$36,5,FALSE)=0,0,VLOOKUP("Patent &amp; Trademark Office",'[1]Raw Data - Table B-8'!$A$7:$O$36,5,FALSE))</f>
        <v>269</v>
      </c>
      <c r="M26" s="19"/>
      <c r="N26" s="19"/>
      <c r="O26" s="19">
        <f>IF(VLOOKUP("Patent &amp; Trademark Office",'[1]Raw Data - Table B-8'!$A$7:$O$36,6,FALSE)=0,0,VLOOKUP("Patent &amp; Trademark Office",'[1]Raw Data - Table B-8'!$A$7:$O$36,6,FALSE))</f>
        <v>123</v>
      </c>
      <c r="P26" s="22"/>
      <c r="Q26" s="22"/>
      <c r="R26" s="19">
        <f>IF(VALUE(VLOOKUP("Patent &amp; Trademark Office",'[1]Raw Data - Table B-8'!$A$7:$O$36,7,FALSE))=0,0,VALUE(VLOOKUP("Patent &amp; Trademark Office",'[1]Raw Data - Table B-8'!$A$7:$O$36,7,FALSE)))</f>
        <v>9</v>
      </c>
      <c r="S26" s="19"/>
      <c r="T26" s="19"/>
      <c r="U26" s="22">
        <f>IF(VALUE(VLOOKUP("Patent &amp; Trademark Office",'[1]Raw Data - Table B-8'!$A$7:$O$36,8,FALSE))=(C26+F26-I26),(C26+F26-I26),"ERROR")</f>
        <v>642</v>
      </c>
      <c r="V26" s="16"/>
    </row>
    <row r="27" spans="1:22" ht="11.25" customHeight="1" x14ac:dyDescent="0.2">
      <c r="A27" s="1" t="s">
        <v>27</v>
      </c>
      <c r="B27" s="16"/>
      <c r="C27" s="19">
        <f>IF(VLOOKUP("Writs*",'[1]Raw Data - Table B-8'!$A$7:$O$36,2,FALSE)=0,0,VLOOKUP("Writs*",'[1]Raw Data - Table B-8'!$A$7:$O$36,2,FALSE))</f>
        <v>19</v>
      </c>
      <c r="D27" s="19"/>
      <c r="E27" s="19"/>
      <c r="F27" s="19">
        <f>IF(VLOOKUP("Writs*",'[1]Raw Data - Table B-8'!$A$7:$O$36,3,FALSE)=0,0,VLOOKUP("Writs*",'[1]Raw Data - Table B-8'!$A$7:$O$36,3,FALSE))</f>
        <v>57</v>
      </c>
      <c r="G27" s="22"/>
      <c r="H27" s="22"/>
      <c r="I27" s="19">
        <f>IF(VALUE(VLOOKUP("Writs*",'[1]Raw Data - Table B-8'!$A$7:$O$36,4,FALSE))=SUM(L27,O27),SUM(L27,O27),"ERROR")</f>
        <v>70</v>
      </c>
      <c r="J27" s="19"/>
      <c r="K27" s="19"/>
      <c r="L27" s="19">
        <f>IF(VLOOKUP("Writs*",'[1]Raw Data - Table B-8'!$A$7:$O$36,5,FALSE)=0,0,VLOOKUP("Writs*",'[1]Raw Data - Table B-8'!$A$7:$O$36,5,FALSE))</f>
        <v>62</v>
      </c>
      <c r="M27" s="19"/>
      <c r="N27" s="19"/>
      <c r="O27" s="19">
        <f>IF(VLOOKUP("Writs*",'[1]Raw Data - Table B-8'!$A$7:$O$36,6,FALSE)=0,0,VLOOKUP("Writs*",'[1]Raw Data - Table B-8'!$A$7:$O$36,6,FALSE))</f>
        <v>8</v>
      </c>
      <c r="P27" s="22"/>
      <c r="Q27" s="22"/>
      <c r="R27" s="19">
        <f>IF(VALUE(VLOOKUP("Writs*",'[1]Raw Data - Table B-8'!$A$7:$O$36,7,FALSE))=0,0,VALUE(VLOOKUP("Writs*",'[1]Raw Data - Table B-8'!$A$7:$O$36,7,FALSE)))</f>
        <v>0</v>
      </c>
      <c r="S27" s="19"/>
      <c r="T27" s="19"/>
      <c r="U27" s="22">
        <f>IF(VALUE(VLOOKUP("Writs*",'[1]Raw Data - Table B-8'!$A$7:$O$36,8,FALSE))=(C27+F27-I27),(C27+F27-I27),"ERROR")</f>
        <v>6</v>
      </c>
      <c r="V27" s="16"/>
    </row>
    <row r="28" spans="1:22" ht="6" customHeight="1" x14ac:dyDescent="0.2">
      <c r="A28" s="26"/>
      <c r="B28" s="26"/>
      <c r="C28" s="26"/>
      <c r="D28" s="26"/>
      <c r="E28" s="26"/>
      <c r="F28" s="27"/>
      <c r="G28" s="28"/>
      <c r="H28" s="28"/>
      <c r="I28" s="27"/>
      <c r="J28" s="27"/>
      <c r="K28" s="27"/>
      <c r="L28" s="27"/>
      <c r="M28" s="27"/>
      <c r="N28" s="28"/>
      <c r="O28" s="28"/>
      <c r="P28" s="27"/>
      <c r="Q28" s="27"/>
      <c r="R28" s="28"/>
      <c r="S28" s="28"/>
      <c r="T28" s="27"/>
      <c r="U28" s="27"/>
      <c r="V28" s="29"/>
    </row>
    <row r="29" spans="1:22" ht="24" customHeight="1" x14ac:dyDescent="0.2">
      <c r="A29" s="30" t="s">
        <v>28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2.75" customHeight="1" x14ac:dyDescent="0.2">
      <c r="A30" s="30" t="s">
        <v>29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1.25" customHeight="1" x14ac:dyDescent="0.2"/>
    <row r="32" spans="1:22" ht="13.5" customHeight="1" x14ac:dyDescent="0.2"/>
  </sheetData>
  <mergeCells count="18">
    <mergeCell ref="A29:V29"/>
    <mergeCell ref="A30:V30"/>
    <mergeCell ref="N7:P7"/>
    <mergeCell ref="Q7:S7"/>
    <mergeCell ref="A28:E28"/>
    <mergeCell ref="G28:H28"/>
    <mergeCell ref="N28:O28"/>
    <mergeCell ref="R28:S28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7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Gibson</dc:creator>
  <cp:lastModifiedBy>Daniel Gibson</cp:lastModifiedBy>
  <dcterms:created xsi:type="dcterms:W3CDTF">2023-05-05T16:14:41Z</dcterms:created>
  <dcterms:modified xsi:type="dcterms:W3CDTF">2023-05-05T16:18:07Z</dcterms:modified>
</cp:coreProperties>
</file>